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60" windowWidth="15195" windowHeight="7170"/>
  </bookViews>
  <sheets>
    <sheet name="Monthly Summary" sheetId="11" r:id="rId1"/>
    <sheet name="2010-2012 Reg Asset Proj (2)" sheetId="10" r:id="rId2"/>
    <sheet name="AFUDC Forecast" sheetId="7" r:id="rId3"/>
    <sheet name="Annual Summary" sheetId="12" r:id="rId4"/>
  </sheets>
  <externalReferences>
    <externalReference r:id="rId5"/>
    <externalReference r:id="rId6"/>
    <externalReference r:id="rId7"/>
  </externalReferences>
  <definedNames>
    <definedName name="_2010_Budget" localSheetId="3">'[1]Input Table'!#REF!</definedName>
    <definedName name="_2010_Budget">'[1]Input Table'!#REF!</definedName>
    <definedName name="_RVDRR_ASSET_A_" localSheetId="1">'[1]Input Table'!#REF!</definedName>
    <definedName name="_RVDRR_ASSET_A_" localSheetId="3">'[1]Input Table'!#REF!</definedName>
    <definedName name="_RVDRR_ASSET_A_">'[1]Input Table'!#REF!</definedName>
    <definedName name="CATCOST" localSheetId="1">#REF!</definedName>
    <definedName name="CATCOST" localSheetId="3">#REF!</definedName>
    <definedName name="CATCOST">#REF!</definedName>
    <definedName name="CF" localSheetId="1">'[2]O&amp;M Crist 7 Year Round'!#REF!</definedName>
    <definedName name="CF" localSheetId="3">'[2]O&amp;M Crist 7 Year Round'!#REF!</definedName>
    <definedName name="CF">'[2]O&amp;M Crist 7 Year Round'!#REF!</definedName>
    <definedName name="ESC" localSheetId="1">#REF!</definedName>
    <definedName name="ESC">#REF!</definedName>
    <definedName name="Impact_Page1" localSheetId="1">#REF!</definedName>
    <definedName name="Impact_Page1">#REF!</definedName>
    <definedName name="Impact_Page2" localSheetId="1">#REF!</definedName>
    <definedName name="Impact_Page2">#REF!</definedName>
    <definedName name="Impact_Pg1">#REF!</definedName>
    <definedName name="Impact_Pg2">#REF!</definedName>
    <definedName name="MAPItemSort">#REF!</definedName>
    <definedName name="MenuFormHeight">#REF!</definedName>
    <definedName name="MenuFormWidth">#REF!</definedName>
    <definedName name="NH3COST">#REF!</definedName>
    <definedName name="_xlnm.Print_Area" localSheetId="1">'2010-2012 Reg Asset Proj (2)'!$A$1:$AD$64</definedName>
    <definedName name="_xlnm.Print_Area" localSheetId="0">'Monthly Summary'!$A$1:$AB$26</definedName>
    <definedName name="_xlnm.Print_Titles" localSheetId="1">'2010-2012 Reg Asset Proj (2)'!$A:$B,'2010-2012 Reg Asset Proj (2)'!$1:$6</definedName>
    <definedName name="_xlnm.Print_Titles" localSheetId="0">'Monthly Summary'!$A:$A,'Monthly Summary'!$1:$6</definedName>
    <definedName name="Version" localSheetId="1">#REF!</definedName>
    <definedName name="Version">#REF!</definedName>
  </definedNames>
  <calcPr calcId="125725" calcMode="manual"/>
</workbook>
</file>

<file path=xl/calcChain.xml><?xml version="1.0" encoding="utf-8"?>
<calcChain xmlns="http://schemas.openxmlformats.org/spreadsheetml/2006/main">
  <c r="E9" i="10"/>
  <c r="B8" i="11"/>
  <c r="B7"/>
  <c r="B13"/>
  <c r="B23"/>
  <c r="D8" i="10"/>
  <c r="E8"/>
  <c r="F8" s="1"/>
  <c r="G8" s="1"/>
  <c r="H8" s="1"/>
  <c r="I8" s="1"/>
  <c r="J8" s="1"/>
  <c r="K8" s="1"/>
  <c r="L8" s="1"/>
  <c r="M8" s="1"/>
  <c r="N8" s="1"/>
  <c r="O8" s="1"/>
  <c r="C13" i="12"/>
  <c r="C15"/>
  <c r="C17"/>
  <c r="C19"/>
  <c r="P55" i="10"/>
  <c r="D19" i="12" s="1"/>
  <c r="P48" i="10"/>
  <c r="P38"/>
  <c r="C17"/>
  <c r="B9" i="12"/>
  <c r="B21" s="1"/>
  <c r="B25" s="1"/>
  <c r="C7" i="11"/>
  <c r="C6"/>
  <c r="D6"/>
  <c r="E6" s="1"/>
  <c r="F6" s="1"/>
  <c r="G6" s="1"/>
  <c r="H6" s="1"/>
  <c r="I6" s="1"/>
  <c r="J6" s="1"/>
  <c r="K6" s="1"/>
  <c r="L6" s="1"/>
  <c r="M6" s="1"/>
  <c r="N6" s="1"/>
  <c r="P6" s="1"/>
  <c r="Q6" s="1"/>
  <c r="R6" s="1"/>
  <c r="S6" s="1"/>
  <c r="T6" s="1"/>
  <c r="U6" s="1"/>
  <c r="V6" s="1"/>
  <c r="W6" s="1"/>
  <c r="X6" s="1"/>
  <c r="Y6" s="1"/>
  <c r="Z6" s="1"/>
  <c r="AA6" s="1"/>
  <c r="O167" i="7"/>
  <c r="Q167"/>
  <c r="S167"/>
  <c r="O168"/>
  <c r="Q168"/>
  <c r="S168"/>
  <c r="O169"/>
  <c r="Q169"/>
  <c r="S169"/>
  <c r="O170"/>
  <c r="Q170"/>
  <c r="S170"/>
  <c r="O171"/>
  <c r="Q171"/>
  <c r="S171"/>
  <c r="O172"/>
  <c r="Q172"/>
  <c r="S172"/>
  <c r="O173"/>
  <c r="Q173"/>
  <c r="S173"/>
  <c r="O174"/>
  <c r="Q174"/>
  <c r="S174"/>
  <c r="O175"/>
  <c r="Q175"/>
  <c r="S175"/>
  <c r="O176"/>
  <c r="Q176"/>
  <c r="S176"/>
  <c r="O177"/>
  <c r="Q177"/>
  <c r="S177"/>
  <c r="O178"/>
  <c r="Q178"/>
  <c r="S178"/>
  <c r="O179"/>
  <c r="Q179"/>
  <c r="S179"/>
  <c r="O180"/>
  <c r="Q180"/>
  <c r="S180"/>
  <c r="O181"/>
  <c r="Q181"/>
  <c r="S181"/>
  <c r="O182"/>
  <c r="Q182"/>
  <c r="S182"/>
  <c r="O183"/>
  <c r="Q183"/>
  <c r="S183"/>
  <c r="O184"/>
  <c r="Q184"/>
  <c r="S184"/>
  <c r="O185"/>
  <c r="Q185"/>
  <c r="S185"/>
  <c r="O186"/>
  <c r="Q186"/>
  <c r="S186"/>
  <c r="O187"/>
  <c r="Q187"/>
  <c r="S187"/>
  <c r="O188"/>
  <c r="Q188"/>
  <c r="S188"/>
  <c r="O189"/>
  <c r="Q189"/>
  <c r="S189"/>
  <c r="O190"/>
  <c r="Q190"/>
  <c r="S190"/>
  <c r="AC55" i="10"/>
  <c r="AB53"/>
  <c r="AA53"/>
  <c r="Z53"/>
  <c r="Y53"/>
  <c r="X53"/>
  <c r="W53"/>
  <c r="V53"/>
  <c r="U53"/>
  <c r="T53"/>
  <c r="S53"/>
  <c r="R53"/>
  <c r="Q53"/>
  <c r="O53"/>
  <c r="N53"/>
  <c r="M53"/>
  <c r="L53"/>
  <c r="K53"/>
  <c r="J53"/>
  <c r="I53"/>
  <c r="H53"/>
  <c r="G53"/>
  <c r="F53"/>
  <c r="E53"/>
  <c r="D53"/>
  <c r="AC48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D46"/>
  <c r="P45"/>
  <c r="AC45" s="1"/>
  <c r="P44"/>
  <c r="AC44" s="1"/>
  <c r="P43"/>
  <c r="AC43" s="1"/>
  <c r="AC38"/>
  <c r="AB33"/>
  <c r="AA33"/>
  <c r="Z33"/>
  <c r="Y33"/>
  <c r="X33"/>
  <c r="W33"/>
  <c r="V33"/>
  <c r="U33"/>
  <c r="T33"/>
  <c r="S33"/>
  <c r="R33"/>
  <c r="Q33"/>
  <c r="O33"/>
  <c r="N33"/>
  <c r="M33"/>
  <c r="L33"/>
  <c r="K33"/>
  <c r="J33"/>
  <c r="I33"/>
  <c r="H33"/>
  <c r="G33"/>
  <c r="P31"/>
  <c r="P30"/>
  <c r="P29"/>
  <c r="P28"/>
  <c r="P27"/>
  <c r="F26"/>
  <c r="F33"/>
  <c r="E26"/>
  <c r="D26"/>
  <c r="D33" s="1"/>
  <c r="D34" s="1"/>
  <c r="P25"/>
  <c r="P24"/>
  <c r="P23"/>
  <c r="P22"/>
  <c r="P21"/>
  <c r="P15"/>
  <c r="AC15" s="1"/>
  <c r="P14"/>
  <c r="AC14" s="1"/>
  <c r="G13"/>
  <c r="F13"/>
  <c r="E13"/>
  <c r="D13"/>
  <c r="G12"/>
  <c r="F12"/>
  <c r="E12"/>
  <c r="D12"/>
  <c r="O10"/>
  <c r="O16" s="1"/>
  <c r="O57" s="1"/>
  <c r="N10"/>
  <c r="N16"/>
  <c r="N57" s="1"/>
  <c r="M10"/>
  <c r="L10"/>
  <c r="L16"/>
  <c r="L57" s="1"/>
  <c r="K10"/>
  <c r="K16" s="1"/>
  <c r="K57" s="1"/>
  <c r="J10"/>
  <c r="J16"/>
  <c r="J57" s="1"/>
  <c r="I10"/>
  <c r="I16" s="1"/>
  <c r="I57" s="1"/>
  <c r="H10"/>
  <c r="H16"/>
  <c r="H57" s="1"/>
  <c r="G10"/>
  <c r="F10"/>
  <c r="E10"/>
  <c r="E16" s="1"/>
  <c r="D10"/>
  <c r="D16" s="1"/>
  <c r="AB16"/>
  <c r="AB57" s="1"/>
  <c r="AA16"/>
  <c r="AA57" s="1"/>
  <c r="Z16"/>
  <c r="Z57" s="1"/>
  <c r="Y16"/>
  <c r="Y57" s="1"/>
  <c r="X16"/>
  <c r="X57" s="1"/>
  <c r="W16"/>
  <c r="W57" s="1"/>
  <c r="V16"/>
  <c r="V57" s="1"/>
  <c r="U16"/>
  <c r="U57" s="1"/>
  <c r="T16"/>
  <c r="T57" s="1"/>
  <c r="S16"/>
  <c r="S57" s="1"/>
  <c r="R16"/>
  <c r="R57" s="1"/>
  <c r="M9"/>
  <c r="M16" s="1"/>
  <c r="M57" s="1"/>
  <c r="G9"/>
  <c r="G16"/>
  <c r="G57" s="1"/>
  <c r="F9"/>
  <c r="P9" s="1"/>
  <c r="A2" i="7"/>
  <c r="G39" s="1"/>
  <c r="G50"/>
  <c r="G75"/>
  <c r="G83"/>
  <c r="G91"/>
  <c r="G99"/>
  <c r="G105"/>
  <c r="G109"/>
  <c r="G112"/>
  <c r="G114"/>
  <c r="G116"/>
  <c r="G118"/>
  <c r="G120"/>
  <c r="G122"/>
  <c r="G124"/>
  <c r="G126"/>
  <c r="G128"/>
  <c r="G130"/>
  <c r="G132"/>
  <c r="G134"/>
  <c r="G136"/>
  <c r="G138"/>
  <c r="G140"/>
  <c r="G142"/>
  <c r="G144"/>
  <c r="G146"/>
  <c r="G148"/>
  <c r="G150"/>
  <c r="G152"/>
  <c r="G154"/>
  <c r="G156"/>
  <c r="G158"/>
  <c r="G160"/>
  <c r="G162"/>
  <c r="G164"/>
  <c r="G166"/>
  <c r="C5"/>
  <c r="F5" s="1"/>
  <c r="H5"/>
  <c r="F9"/>
  <c r="H9"/>
  <c r="I9" s="1"/>
  <c r="C10" s="1"/>
  <c r="M11"/>
  <c r="S11"/>
  <c r="M12"/>
  <c r="S12"/>
  <c r="M13"/>
  <c r="S13"/>
  <c r="M14"/>
  <c r="S14"/>
  <c r="M15"/>
  <c r="S15"/>
  <c r="M16"/>
  <c r="S16"/>
  <c r="M17"/>
  <c r="S17"/>
  <c r="M18"/>
  <c r="S18"/>
  <c r="M19"/>
  <c r="S19"/>
  <c r="M20"/>
  <c r="S20"/>
  <c r="M21"/>
  <c r="M22"/>
  <c r="S21"/>
  <c r="L22"/>
  <c r="O22"/>
  <c r="Q22"/>
  <c r="S22"/>
  <c r="A23"/>
  <c r="A35" s="1"/>
  <c r="A47"/>
  <c r="A59" s="1"/>
  <c r="A71" s="1"/>
  <c r="A83" s="1"/>
  <c r="A95" s="1"/>
  <c r="A107" s="1"/>
  <c r="A119" s="1"/>
  <c r="A131" s="1"/>
  <c r="A143" s="1"/>
  <c r="A155" s="1"/>
  <c r="A167" s="1"/>
  <c r="A179" s="1"/>
  <c r="S23"/>
  <c r="S24"/>
  <c r="S25"/>
  <c r="S26"/>
  <c r="S27"/>
  <c r="S28"/>
  <c r="S29"/>
  <c r="S30"/>
  <c r="S31"/>
  <c r="S32"/>
  <c r="S33"/>
  <c r="O34"/>
  <c r="Q34"/>
  <c r="S34"/>
  <c r="S35"/>
  <c r="S36"/>
  <c r="S37"/>
  <c r="S38"/>
  <c r="S39"/>
  <c r="S40"/>
  <c r="S41"/>
  <c r="S42"/>
  <c r="S43"/>
  <c r="S44"/>
  <c r="S45"/>
  <c r="O46"/>
  <c r="Q46"/>
  <c r="S46"/>
  <c r="S47"/>
  <c r="S48"/>
  <c r="S49"/>
  <c r="S50"/>
  <c r="S51"/>
  <c r="S52"/>
  <c r="S53"/>
  <c r="S54"/>
  <c r="S55"/>
  <c r="S56"/>
  <c r="S57"/>
  <c r="O58"/>
  <c r="R58"/>
  <c r="Q58"/>
  <c r="S58"/>
  <c r="S59"/>
  <c r="S60"/>
  <c r="S61"/>
  <c r="S62"/>
  <c r="S63"/>
  <c r="S64"/>
  <c r="S65"/>
  <c r="S66"/>
  <c r="S67"/>
  <c r="S68"/>
  <c r="S69"/>
  <c r="Q70"/>
  <c r="S70"/>
  <c r="S71"/>
  <c r="S72"/>
  <c r="S73"/>
  <c r="S74"/>
  <c r="S75"/>
  <c r="S76"/>
  <c r="S77"/>
  <c r="S78"/>
  <c r="S79"/>
  <c r="S80"/>
  <c r="S81"/>
  <c r="Q82"/>
  <c r="S82"/>
  <c r="S83"/>
  <c r="S84"/>
  <c r="S85"/>
  <c r="S86"/>
  <c r="S87"/>
  <c r="S88"/>
  <c r="S89"/>
  <c r="S90"/>
  <c r="S91"/>
  <c r="S92"/>
  <c r="S93"/>
  <c r="O94"/>
  <c r="Q94"/>
  <c r="S94"/>
  <c r="S95"/>
  <c r="S96"/>
  <c r="S97"/>
  <c r="S98"/>
  <c r="S99"/>
  <c r="S100"/>
  <c r="S101"/>
  <c r="S102"/>
  <c r="S103"/>
  <c r="S104"/>
  <c r="S105"/>
  <c r="O106"/>
  <c r="Q106"/>
  <c r="S106"/>
  <c r="S107"/>
  <c r="S108"/>
  <c r="S109"/>
  <c r="S110"/>
  <c r="S111"/>
  <c r="S112"/>
  <c r="S113"/>
  <c r="S114"/>
  <c r="S115"/>
  <c r="S116"/>
  <c r="S117"/>
  <c r="O118"/>
  <c r="Q118"/>
  <c r="S118"/>
  <c r="S119"/>
  <c r="S120"/>
  <c r="S121"/>
  <c r="S122"/>
  <c r="S123"/>
  <c r="S124"/>
  <c r="S125"/>
  <c r="S126"/>
  <c r="S127"/>
  <c r="S128"/>
  <c r="S129"/>
  <c r="O130"/>
  <c r="Q130"/>
  <c r="S130"/>
  <c r="S131"/>
  <c r="S132"/>
  <c r="S133"/>
  <c r="S134"/>
  <c r="S135"/>
  <c r="S136"/>
  <c r="S137"/>
  <c r="S138"/>
  <c r="S139"/>
  <c r="S140"/>
  <c r="S141"/>
  <c r="O142"/>
  <c r="Q142"/>
  <c r="S142"/>
  <c r="S143"/>
  <c r="S144"/>
  <c r="S145"/>
  <c r="S146"/>
  <c r="S147"/>
  <c r="S148"/>
  <c r="S149"/>
  <c r="S150"/>
  <c r="S151"/>
  <c r="S152"/>
  <c r="S153"/>
  <c r="O154"/>
  <c r="Q154"/>
  <c r="S154"/>
  <c r="S155"/>
  <c r="S156"/>
  <c r="S157"/>
  <c r="S158"/>
  <c r="S159"/>
  <c r="S160"/>
  <c r="S161"/>
  <c r="S162"/>
  <c r="S163"/>
  <c r="S164"/>
  <c r="S165"/>
  <c r="O166"/>
  <c r="Q166"/>
  <c r="Q194"/>
  <c r="S166"/>
  <c r="S194"/>
  <c r="H194"/>
  <c r="G71"/>
  <c r="G54"/>
  <c r="G69"/>
  <c r="G61"/>
  <c r="G52"/>
  <c r="G42"/>
  <c r="G187"/>
  <c r="G183"/>
  <c r="G179"/>
  <c r="G175"/>
  <c r="G171"/>
  <c r="G167"/>
  <c r="G188"/>
  <c r="G184"/>
  <c r="G180"/>
  <c r="G176"/>
  <c r="G172"/>
  <c r="G168"/>
  <c r="P41" i="10"/>
  <c r="E33"/>
  <c r="P51"/>
  <c r="AC51"/>
  <c r="B19" i="11"/>
  <c r="G110" i="7"/>
  <c r="G106"/>
  <c r="G102"/>
  <c r="G98"/>
  <c r="G94"/>
  <c r="G90"/>
  <c r="G86"/>
  <c r="G82"/>
  <c r="G78"/>
  <c r="G74"/>
  <c r="G70"/>
  <c r="G66"/>
  <c r="G62"/>
  <c r="G57"/>
  <c r="G53"/>
  <c r="G49"/>
  <c r="G44"/>
  <c r="G45"/>
  <c r="G41"/>
  <c r="D11" i="10"/>
  <c r="AC41"/>
  <c r="Q16"/>
  <c r="Q57"/>
  <c r="P19"/>
  <c r="C17" i="11"/>
  <c r="D7"/>
  <c r="E7" s="1"/>
  <c r="F7" s="1"/>
  <c r="AC33" i="10"/>
  <c r="P11"/>
  <c r="P12"/>
  <c r="AC12" s="1"/>
  <c r="P10"/>
  <c r="P26"/>
  <c r="B9" i="11"/>
  <c r="F16" i="10"/>
  <c r="F57" s="1"/>
  <c r="D17"/>
  <c r="E17" s="1"/>
  <c r="F17" s="1"/>
  <c r="G17" s="1"/>
  <c r="H17" s="1"/>
  <c r="I17" s="1"/>
  <c r="J17" s="1"/>
  <c r="K17" s="1"/>
  <c r="L17" s="1"/>
  <c r="M17" s="1"/>
  <c r="N17" s="1"/>
  <c r="O17" s="1"/>
  <c r="AC11"/>
  <c r="C19" i="11"/>
  <c r="I5" i="7"/>
  <c r="C6" s="1"/>
  <c r="F6" s="1"/>
  <c r="H6" s="1"/>
  <c r="J5"/>
  <c r="P36" i="10"/>
  <c r="D13" i="12" s="1"/>
  <c r="P42" i="10"/>
  <c r="C46"/>
  <c r="B15" i="11" s="1"/>
  <c r="C15" s="1"/>
  <c r="D15" s="1"/>
  <c r="P52" i="10"/>
  <c r="C53"/>
  <c r="P13"/>
  <c r="AC13"/>
  <c r="C16"/>
  <c r="P20"/>
  <c r="P33" s="1"/>
  <c r="D11" i="12" s="1"/>
  <c r="C33" i="10"/>
  <c r="B11" i="11" s="1"/>
  <c r="C11" s="1"/>
  <c r="G101" i="7"/>
  <c r="G93"/>
  <c r="G85"/>
  <c r="G77"/>
  <c r="G59"/>
  <c r="AE8" i="10"/>
  <c r="C9" i="11"/>
  <c r="C8" s="1"/>
  <c r="AC36" i="10"/>
  <c r="D19" i="11"/>
  <c r="D11"/>
  <c r="AC42" i="10"/>
  <c r="P46"/>
  <c r="D15" i="12" s="1"/>
  <c r="C13" i="11"/>
  <c r="D13" s="1"/>
  <c r="R67" i="7"/>
  <c r="O70"/>
  <c r="D9" i="11"/>
  <c r="E9" s="1"/>
  <c r="E11"/>
  <c r="C21"/>
  <c r="E19"/>
  <c r="F19" s="1"/>
  <c r="D8"/>
  <c r="F11"/>
  <c r="G11" s="1"/>
  <c r="H69" i="7"/>
  <c r="R69"/>
  <c r="I69"/>
  <c r="H70"/>
  <c r="R70"/>
  <c r="E8" i="11" l="1"/>
  <c r="F9"/>
  <c r="G7"/>
  <c r="H7" s="1"/>
  <c r="I7" s="1"/>
  <c r="J7" s="1"/>
  <c r="K7" s="1"/>
  <c r="L7" s="1"/>
  <c r="M7" s="1"/>
  <c r="N7" s="1"/>
  <c r="I10" i="7"/>
  <c r="C11" s="1"/>
  <c r="F10"/>
  <c r="H10" s="1"/>
  <c r="H11" i="11"/>
  <c r="I11" s="1"/>
  <c r="J11" s="1"/>
  <c r="K11" s="1"/>
  <c r="L11" s="1"/>
  <c r="M11" s="1"/>
  <c r="N11" s="1"/>
  <c r="G19"/>
  <c r="H19" s="1"/>
  <c r="I19" s="1"/>
  <c r="J19" s="1"/>
  <c r="K19" s="1"/>
  <c r="L19" s="1"/>
  <c r="M19" s="1"/>
  <c r="N19" s="1"/>
  <c r="D21"/>
  <c r="E13"/>
  <c r="F13" s="1"/>
  <c r="G13" s="1"/>
  <c r="H13" s="1"/>
  <c r="I13" s="1"/>
  <c r="J13" s="1"/>
  <c r="K13" s="1"/>
  <c r="L13" s="1"/>
  <c r="M13" s="1"/>
  <c r="N13" s="1"/>
  <c r="O13"/>
  <c r="P13" s="1"/>
  <c r="Q13" s="1"/>
  <c r="R13" s="1"/>
  <c r="S13" s="1"/>
  <c r="T13" s="1"/>
  <c r="U13" s="1"/>
  <c r="V13" s="1"/>
  <c r="W13" s="1"/>
  <c r="X13" s="1"/>
  <c r="Y13" s="1"/>
  <c r="Z13" s="1"/>
  <c r="AA13" s="1"/>
  <c r="E15"/>
  <c r="F15" s="1"/>
  <c r="G15" s="1"/>
  <c r="H15" s="1"/>
  <c r="I15" s="1"/>
  <c r="J15" s="1"/>
  <c r="K15" s="1"/>
  <c r="L15" s="1"/>
  <c r="M15" s="1"/>
  <c r="N15" s="1"/>
  <c r="O15"/>
  <c r="J6" i="7"/>
  <c r="I6"/>
  <c r="C7" s="1"/>
  <c r="AC10" i="10"/>
  <c r="P17"/>
  <c r="D8" i="12" s="1"/>
  <c r="P16" i="10"/>
  <c r="P8"/>
  <c r="AC9"/>
  <c r="AC16" s="1"/>
  <c r="AC57" s="1"/>
  <c r="D77" i="7"/>
  <c r="D78"/>
  <c r="D81"/>
  <c r="D82"/>
  <c r="E34" i="10"/>
  <c r="F34" s="1"/>
  <c r="G34" s="1"/>
  <c r="H34" s="1"/>
  <c r="I34" s="1"/>
  <c r="J34" s="1"/>
  <c r="K34" s="1"/>
  <c r="L34" s="1"/>
  <c r="M34" s="1"/>
  <c r="N34" s="1"/>
  <c r="O34" s="1"/>
  <c r="E57"/>
  <c r="C8" i="12"/>
  <c r="AC52" i="10"/>
  <c r="AC53" s="1"/>
  <c r="P53"/>
  <c r="D17" i="12" s="1"/>
  <c r="D73" i="7"/>
  <c r="D17" i="11"/>
  <c r="E17" s="1"/>
  <c r="F17" s="1"/>
  <c r="G17" s="1"/>
  <c r="H17" s="1"/>
  <c r="I17" s="1"/>
  <c r="J17" s="1"/>
  <c r="K17" s="1"/>
  <c r="L17" s="1"/>
  <c r="M17" s="1"/>
  <c r="N17" s="1"/>
  <c r="O17"/>
  <c r="P17" s="1"/>
  <c r="Q17" s="1"/>
  <c r="R17" s="1"/>
  <c r="S17" s="1"/>
  <c r="T17" s="1"/>
  <c r="U17" s="1"/>
  <c r="V17" s="1"/>
  <c r="W17" s="1"/>
  <c r="X17" s="1"/>
  <c r="Y17" s="1"/>
  <c r="Z17" s="1"/>
  <c r="AA17" s="1"/>
  <c r="D74" i="7"/>
  <c r="D80"/>
  <c r="D75"/>
  <c r="D76"/>
  <c r="D79"/>
  <c r="B21" i="11"/>
  <c r="C57" i="10"/>
  <c r="C61" s="1"/>
  <c r="AC46"/>
  <c r="D57"/>
  <c r="C7" i="12"/>
  <c r="G73" i="7"/>
  <c r="G81"/>
  <c r="G89"/>
  <c r="G97"/>
  <c r="G43"/>
  <c r="G40"/>
  <c r="G47"/>
  <c r="G51"/>
  <c r="G55"/>
  <c r="G60"/>
  <c r="G64"/>
  <c r="G68"/>
  <c r="H68" s="1"/>
  <c r="G72"/>
  <c r="G76"/>
  <c r="G80"/>
  <c r="G84"/>
  <c r="G88"/>
  <c r="G92"/>
  <c r="G96"/>
  <c r="G100"/>
  <c r="G104"/>
  <c r="G108"/>
  <c r="G170"/>
  <c r="G174"/>
  <c r="G178"/>
  <c r="G182"/>
  <c r="G186"/>
  <c r="G190"/>
  <c r="G169"/>
  <c r="G173"/>
  <c r="G177"/>
  <c r="G181"/>
  <c r="G185"/>
  <c r="G189"/>
  <c r="G48"/>
  <c r="G56"/>
  <c r="G65"/>
  <c r="G46"/>
  <c r="G63"/>
  <c r="G58"/>
  <c r="G165"/>
  <c r="G163"/>
  <c r="G161"/>
  <c r="G159"/>
  <c r="G157"/>
  <c r="G155"/>
  <c r="G153"/>
  <c r="G151"/>
  <c r="G149"/>
  <c r="G147"/>
  <c r="G145"/>
  <c r="G143"/>
  <c r="G141"/>
  <c r="G139"/>
  <c r="G137"/>
  <c r="G135"/>
  <c r="G133"/>
  <c r="G131"/>
  <c r="G129"/>
  <c r="G127"/>
  <c r="G125"/>
  <c r="G123"/>
  <c r="G121"/>
  <c r="G119"/>
  <c r="G117"/>
  <c r="G115"/>
  <c r="G113"/>
  <c r="G111"/>
  <c r="G107"/>
  <c r="G103"/>
  <c r="G95"/>
  <c r="G87"/>
  <c r="G79"/>
  <c r="G67"/>
  <c r="C9" i="12" l="1"/>
  <c r="D71" i="7"/>
  <c r="I70"/>
  <c r="C71" s="1"/>
  <c r="C63" i="10"/>
  <c r="D72" i="7"/>
  <c r="D7" i="12"/>
  <c r="D9" s="1"/>
  <c r="D21" s="1"/>
  <c r="AG8" i="10"/>
  <c r="P15" i="11"/>
  <c r="Q15" s="1"/>
  <c r="R15" s="1"/>
  <c r="S15" s="1"/>
  <c r="T15" s="1"/>
  <c r="U15" s="1"/>
  <c r="V15" s="1"/>
  <c r="W15" s="1"/>
  <c r="X15" s="1"/>
  <c r="Y15" s="1"/>
  <c r="Z15" s="1"/>
  <c r="AA15" s="1"/>
  <c r="AB17"/>
  <c r="C11" i="12"/>
  <c r="C21" s="1"/>
  <c r="AB13" i="11"/>
  <c r="O19"/>
  <c r="P19" s="1"/>
  <c r="Q19" s="1"/>
  <c r="R19" s="1"/>
  <c r="S19" s="1"/>
  <c r="T19" s="1"/>
  <c r="U19" s="1"/>
  <c r="V19" s="1"/>
  <c r="W19" s="1"/>
  <c r="X19" s="1"/>
  <c r="Y19" s="1"/>
  <c r="Z19" s="1"/>
  <c r="AA19" s="1"/>
  <c r="O11"/>
  <c r="O7"/>
  <c r="E21"/>
  <c r="R68" i="7"/>
  <c r="I68"/>
  <c r="B25" i="11"/>
  <c r="F7" i="7"/>
  <c r="H7" s="1"/>
  <c r="J7" s="1"/>
  <c r="P11" i="11"/>
  <c r="Q11" s="1"/>
  <c r="R11" s="1"/>
  <c r="S11" s="1"/>
  <c r="T11" s="1"/>
  <c r="U11" s="1"/>
  <c r="V11" s="1"/>
  <c r="W11" s="1"/>
  <c r="X11" s="1"/>
  <c r="Y11" s="1"/>
  <c r="Z11" s="1"/>
  <c r="AA11" s="1"/>
  <c r="F11" i="7"/>
  <c r="H11" s="1"/>
  <c r="P7" i="11"/>
  <c r="Q7" s="1"/>
  <c r="R7" s="1"/>
  <c r="S7" s="1"/>
  <c r="T7" s="1"/>
  <c r="U7" s="1"/>
  <c r="V7" s="1"/>
  <c r="W7" s="1"/>
  <c r="X7" s="1"/>
  <c r="Y7" s="1"/>
  <c r="Z7" s="1"/>
  <c r="AA7" s="1"/>
  <c r="G9"/>
  <c r="F8"/>
  <c r="F21"/>
  <c r="P57" i="10"/>
  <c r="R11" i="7" l="1"/>
  <c r="J11"/>
  <c r="F71"/>
  <c r="H71" s="1"/>
  <c r="D194"/>
  <c r="O82"/>
  <c r="O194" s="1"/>
  <c r="R71"/>
  <c r="AB19" i="11"/>
  <c r="AB7"/>
  <c r="I11" i="7"/>
  <c r="C12" s="1"/>
  <c r="AB11" i="11"/>
  <c r="I7" i="7"/>
  <c r="C8" s="1"/>
  <c r="AB15" i="11"/>
  <c r="I71" i="7"/>
  <c r="C72" s="1"/>
  <c r="H9" i="11"/>
  <c r="G21"/>
  <c r="G8"/>
  <c r="D59" i="10" l="1"/>
  <c r="I72" i="7"/>
  <c r="C73" s="1"/>
  <c r="F72"/>
  <c r="H72" s="1"/>
  <c r="H8" i="11"/>
  <c r="I9"/>
  <c r="H21"/>
  <c r="F8" i="7"/>
  <c r="H8" s="1"/>
  <c r="J8" s="1"/>
  <c r="J9" s="1"/>
  <c r="F12"/>
  <c r="H12" s="1"/>
  <c r="J12" l="1"/>
  <c r="R12"/>
  <c r="I8" i="11"/>
  <c r="J9"/>
  <c r="I21"/>
  <c r="F73" i="7"/>
  <c r="H73" s="1"/>
  <c r="E59" i="10"/>
  <c r="E61" s="1"/>
  <c r="R72" i="7"/>
  <c r="I12"/>
  <c r="C13" s="1"/>
  <c r="I8"/>
  <c r="C23" i="11"/>
  <c r="D61" i="10"/>
  <c r="D63" s="1"/>
  <c r="F59" l="1"/>
  <c r="R73" i="7"/>
  <c r="D23" i="11"/>
  <c r="C25"/>
  <c r="J8"/>
  <c r="K9"/>
  <c r="J21"/>
  <c r="I73" i="7"/>
  <c r="C74" s="1"/>
  <c r="E63" i="10"/>
  <c r="F13" i="7"/>
  <c r="H13" s="1"/>
  <c r="R13" l="1"/>
  <c r="J13"/>
  <c r="K8" i="11"/>
  <c r="K21"/>
  <c r="L9"/>
  <c r="E23"/>
  <c r="D25"/>
  <c r="F61" i="10"/>
  <c r="I13" i="7"/>
  <c r="C14" s="1"/>
  <c r="F63" i="10"/>
  <c r="F74" i="7"/>
  <c r="H74" s="1"/>
  <c r="I74" s="1"/>
  <c r="C75" s="1"/>
  <c r="F75" l="1"/>
  <c r="H75" s="1"/>
  <c r="I75" s="1"/>
  <c r="C76" s="1"/>
  <c r="F14"/>
  <c r="H14" s="1"/>
  <c r="M9" i="11"/>
  <c r="L8"/>
  <c r="L21"/>
  <c r="G59" i="10"/>
  <c r="R74" i="7"/>
  <c r="F23" i="11"/>
  <c r="E25"/>
  <c r="F25" l="1"/>
  <c r="N9"/>
  <c r="M8"/>
  <c r="M21"/>
  <c r="J14" i="7"/>
  <c r="R14"/>
  <c r="F76"/>
  <c r="H76" s="1"/>
  <c r="I76" s="1"/>
  <c r="C77" s="1"/>
  <c r="G61" i="10"/>
  <c r="G63" s="1"/>
  <c r="H59"/>
  <c r="H61" s="1"/>
  <c r="R75" i="7"/>
  <c r="I14"/>
  <c r="C15" s="1"/>
  <c r="H63" i="10" l="1"/>
  <c r="F77" i="7"/>
  <c r="H77" s="1"/>
  <c r="N8" i="11"/>
  <c r="P9"/>
  <c r="N21"/>
  <c r="O9"/>
  <c r="I15" i="7"/>
  <c r="C16" s="1"/>
  <c r="F15"/>
  <c r="H15" s="1"/>
  <c r="I59" i="10"/>
  <c r="I61" s="1"/>
  <c r="R76" i="7"/>
  <c r="G23" i="11"/>
  <c r="F16" i="7" l="1"/>
  <c r="H16" s="1"/>
  <c r="Q9" i="11"/>
  <c r="P8"/>
  <c r="P21"/>
  <c r="J59" i="10"/>
  <c r="R77" i="7"/>
  <c r="H23" i="11"/>
  <c r="G25"/>
  <c r="J15" i="7"/>
  <c r="R15"/>
  <c r="O21" i="11"/>
  <c r="O8"/>
  <c r="I77" i="7"/>
  <c r="C78" s="1"/>
  <c r="I63" i="10"/>
  <c r="F78" i="7" l="1"/>
  <c r="H78" s="1"/>
  <c r="J61" i="10"/>
  <c r="J63" s="1"/>
  <c r="J16" i="7"/>
  <c r="R16"/>
  <c r="I23" i="11"/>
  <c r="H25"/>
  <c r="R9"/>
  <c r="Q21"/>
  <c r="Q8"/>
  <c r="I16" i="7"/>
  <c r="C17" s="1"/>
  <c r="F17" l="1"/>
  <c r="H17" s="1"/>
  <c r="I17"/>
  <c r="C18" s="1"/>
  <c r="K59" i="10"/>
  <c r="K61" s="1"/>
  <c r="R78" i="7"/>
  <c r="S9" i="11"/>
  <c r="R8"/>
  <c r="R21"/>
  <c r="J23"/>
  <c r="I25"/>
  <c r="K63" i="10"/>
  <c r="I78" i="7"/>
  <c r="C79" s="1"/>
  <c r="F79" l="1"/>
  <c r="H79" s="1"/>
  <c r="T9" i="11"/>
  <c r="S8"/>
  <c r="S21"/>
  <c r="F18" i="7"/>
  <c r="H18" s="1"/>
  <c r="I18"/>
  <c r="C19" s="1"/>
  <c r="J25" i="11"/>
  <c r="R17" i="7"/>
  <c r="J17"/>
  <c r="F19" l="1"/>
  <c r="H19" s="1"/>
  <c r="I19"/>
  <c r="C20" s="1"/>
  <c r="L59" i="10"/>
  <c r="R79" i="7"/>
  <c r="R18"/>
  <c r="J18"/>
  <c r="T8" i="11"/>
  <c r="U9"/>
  <c r="T21"/>
  <c r="I79" i="7"/>
  <c r="C80" s="1"/>
  <c r="F20" l="1"/>
  <c r="H20" s="1"/>
  <c r="I20"/>
  <c r="C21" s="1"/>
  <c r="F80"/>
  <c r="H80" s="1"/>
  <c r="U8" i="11"/>
  <c r="U21"/>
  <c r="V9"/>
  <c r="L61" i="10"/>
  <c r="L63" s="1"/>
  <c r="K23" i="11"/>
  <c r="R19" i="7"/>
  <c r="J19"/>
  <c r="K25" i="11" l="1"/>
  <c r="M59" i="10"/>
  <c r="M61" s="1"/>
  <c r="R80" i="7"/>
  <c r="F21"/>
  <c r="H21" s="1"/>
  <c r="W9" i="11"/>
  <c r="V8"/>
  <c r="V21"/>
  <c r="J20" i="7"/>
  <c r="R20"/>
  <c r="M63" i="10"/>
  <c r="I80" i="7"/>
  <c r="C81" s="1"/>
  <c r="F81" l="1"/>
  <c r="H81" s="1"/>
  <c r="W8" i="11"/>
  <c r="X9"/>
  <c r="W21"/>
  <c r="R21" i="7"/>
  <c r="J21"/>
  <c r="I21"/>
  <c r="C22" s="1"/>
  <c r="L23" i="11"/>
  <c r="L25" l="1"/>
  <c r="Y9"/>
  <c r="X21"/>
  <c r="X8"/>
  <c r="N59" i="10"/>
  <c r="N61" s="1"/>
  <c r="N63" s="1"/>
  <c r="R81" i="7"/>
  <c r="F22"/>
  <c r="H22" s="1"/>
  <c r="I22"/>
  <c r="C23" s="1"/>
  <c r="I81"/>
  <c r="C82" s="1"/>
  <c r="F82" l="1"/>
  <c r="H82" s="1"/>
  <c r="F23"/>
  <c r="H23" s="1"/>
  <c r="I23"/>
  <c r="C24" s="1"/>
  <c r="R22"/>
  <c r="P22" s="1"/>
  <c r="J22"/>
  <c r="K22"/>
  <c r="Z9" i="11"/>
  <c r="Y8"/>
  <c r="Y21"/>
  <c r="M23"/>
  <c r="AA9" l="1"/>
  <c r="Z8"/>
  <c r="Z21"/>
  <c r="F24" i="7"/>
  <c r="H24" s="1"/>
  <c r="O59" i="10"/>
  <c r="R82" i="7"/>
  <c r="P82" s="1"/>
  <c r="M25" i="11"/>
  <c r="J23" i="7"/>
  <c r="R23"/>
  <c r="I82"/>
  <c r="C83" s="1"/>
  <c r="O61" i="10" l="1"/>
  <c r="O63" s="1"/>
  <c r="C25" i="12" s="1"/>
  <c r="C23" s="1"/>
  <c r="P59" i="10"/>
  <c r="R24" i="7"/>
  <c r="J24"/>
  <c r="F83"/>
  <c r="H83" s="1"/>
  <c r="AA8" i="11"/>
  <c r="AB8" s="1"/>
  <c r="AA21"/>
  <c r="AB9"/>
  <c r="N23"/>
  <c r="I24" i="7"/>
  <c r="C25" s="1"/>
  <c r="F25" l="1"/>
  <c r="H25" s="1"/>
  <c r="I25"/>
  <c r="C26" s="1"/>
  <c r="AB21" i="11"/>
  <c r="Q59" i="10"/>
  <c r="Q61" s="1"/>
  <c r="R83" i="7"/>
  <c r="P61" i="10"/>
  <c r="P63" s="1"/>
  <c r="P23" i="11"/>
  <c r="N25"/>
  <c r="O23"/>
  <c r="I83" i="7"/>
  <c r="C84" s="1"/>
  <c r="F84" l="1"/>
  <c r="H84" s="1"/>
  <c r="I84"/>
  <c r="C85" s="1"/>
  <c r="O25" i="11"/>
  <c r="Q23"/>
  <c r="P25"/>
  <c r="F26" i="7"/>
  <c r="H26" s="1"/>
  <c r="I26"/>
  <c r="C27" s="1"/>
  <c r="Q63" i="10"/>
  <c r="D29" i="12"/>
  <c r="J25" i="7"/>
  <c r="R25"/>
  <c r="F27" l="1"/>
  <c r="H27" s="1"/>
  <c r="I85"/>
  <c r="C86" s="1"/>
  <c r="F85"/>
  <c r="H85" s="1"/>
  <c r="R26"/>
  <c r="J26"/>
  <c r="R23" i="11"/>
  <c r="Q25"/>
  <c r="R59" i="10"/>
  <c r="R84" i="7"/>
  <c r="R61" i="10" l="1"/>
  <c r="R63" s="1"/>
  <c r="S23" i="11"/>
  <c r="R25"/>
  <c r="F86" i="7"/>
  <c r="H86" s="1"/>
  <c r="J27"/>
  <c r="R27"/>
  <c r="S59" i="10"/>
  <c r="S61" s="1"/>
  <c r="R85" i="7"/>
  <c r="I27"/>
  <c r="C28" s="1"/>
  <c r="F28" l="1"/>
  <c r="H28" s="1"/>
  <c r="T59" i="10"/>
  <c r="T61" s="1"/>
  <c r="R86" i="7"/>
  <c r="T23" i="11"/>
  <c r="S25"/>
  <c r="S63" i="10"/>
  <c r="I86" i="7"/>
  <c r="C87" s="1"/>
  <c r="J28" l="1"/>
  <c r="R28"/>
  <c r="F87"/>
  <c r="H87" s="1"/>
  <c r="U23" i="11"/>
  <c r="T25"/>
  <c r="T63" i="10"/>
  <c r="I28" i="7"/>
  <c r="C29" s="1"/>
  <c r="U59" i="10" l="1"/>
  <c r="R87" i="7"/>
  <c r="F29"/>
  <c r="H29" s="1"/>
  <c r="I29"/>
  <c r="C30" s="1"/>
  <c r="V23" i="11"/>
  <c r="U25"/>
  <c r="I87" i="7"/>
  <c r="C88" s="1"/>
  <c r="F30" l="1"/>
  <c r="H30" s="1"/>
  <c r="I30"/>
  <c r="C31" s="1"/>
  <c r="U61" i="10"/>
  <c r="U63" s="1"/>
  <c r="F88" i="7"/>
  <c r="H88" s="1"/>
  <c r="I88" s="1"/>
  <c r="C89" s="1"/>
  <c r="W23" i="11"/>
  <c r="V25"/>
  <c r="R29" i="7"/>
  <c r="J29"/>
  <c r="F89" l="1"/>
  <c r="H89" s="1"/>
  <c r="F31"/>
  <c r="H31" s="1"/>
  <c r="I31"/>
  <c r="C32" s="1"/>
  <c r="X23" i="11"/>
  <c r="W25"/>
  <c r="V59" i="10"/>
  <c r="R88" i="7"/>
  <c r="R30"/>
  <c r="J30"/>
  <c r="F32" l="1"/>
  <c r="H32" s="1"/>
  <c r="I32"/>
  <c r="C33" s="1"/>
  <c r="W59" i="10"/>
  <c r="W61" s="1"/>
  <c r="R89" i="7"/>
  <c r="V61" i="10"/>
  <c r="V63" s="1"/>
  <c r="Y23" i="11"/>
  <c r="X25"/>
  <c r="J31" i="7"/>
  <c r="R31"/>
  <c r="I89"/>
  <c r="C90" s="1"/>
  <c r="F90" l="1"/>
  <c r="H90" s="1"/>
  <c r="I90"/>
  <c r="C91" s="1"/>
  <c r="Z23" i="11"/>
  <c r="Y25"/>
  <c r="W63" i="10"/>
  <c r="F33" i="7"/>
  <c r="H33" s="1"/>
  <c r="R32"/>
  <c r="J32"/>
  <c r="J33" l="1"/>
  <c r="R33"/>
  <c r="F91"/>
  <c r="H91" s="1"/>
  <c r="AA23" i="11"/>
  <c r="Z25"/>
  <c r="X59" i="10"/>
  <c r="X61" s="1"/>
  <c r="X63" s="1"/>
  <c r="R90" i="7"/>
  <c r="I33"/>
  <c r="C34" s="1"/>
  <c r="F34" l="1"/>
  <c r="H34" s="1"/>
  <c r="Y59" i="10"/>
  <c r="Y61" s="1"/>
  <c r="R91" i="7"/>
  <c r="AA25" i="11"/>
  <c r="AB25" s="1"/>
  <c r="AB23"/>
  <c r="Y63" i="10"/>
  <c r="I91" i="7"/>
  <c r="C92" s="1"/>
  <c r="R34" l="1"/>
  <c r="P34" s="1"/>
  <c r="J34"/>
  <c r="F92"/>
  <c r="H92" s="1"/>
  <c r="I92"/>
  <c r="C93" s="1"/>
  <c r="I34"/>
  <c r="C35" s="1"/>
  <c r="F35" l="1"/>
  <c r="H35" s="1"/>
  <c r="I35"/>
  <c r="C36" s="1"/>
  <c r="F93"/>
  <c r="H93" s="1"/>
  <c r="Z59" i="10"/>
  <c r="Z61" s="1"/>
  <c r="Z63" s="1"/>
  <c r="R92" i="7"/>
  <c r="AA59" i="10" l="1"/>
  <c r="AA61" s="1"/>
  <c r="R93" i="7"/>
  <c r="F36"/>
  <c r="H36" s="1"/>
  <c r="R35"/>
  <c r="J35"/>
  <c r="AA63" i="10"/>
  <c r="I93" i="7"/>
  <c r="C94" s="1"/>
  <c r="J36" l="1"/>
  <c r="R36"/>
  <c r="F94"/>
  <c r="H94" s="1"/>
  <c r="I94"/>
  <c r="C95" s="1"/>
  <c r="I36"/>
  <c r="C37" s="1"/>
  <c r="F95" l="1"/>
  <c r="H95" s="1"/>
  <c r="I95"/>
  <c r="C96" s="1"/>
  <c r="F37"/>
  <c r="H37" s="1"/>
  <c r="I37"/>
  <c r="C38" s="1"/>
  <c r="AB59" i="10"/>
  <c r="R94" i="7"/>
  <c r="P94" s="1"/>
  <c r="F38" l="1"/>
  <c r="H38" s="1"/>
  <c r="I38"/>
  <c r="C39" s="1"/>
  <c r="F96"/>
  <c r="H96" s="1"/>
  <c r="I96"/>
  <c r="C97" s="1"/>
  <c r="AB61" i="10"/>
  <c r="AB63" s="1"/>
  <c r="AC59"/>
  <c r="AC61" s="1"/>
  <c r="R37" i="7"/>
  <c r="J37"/>
  <c r="R95"/>
  <c r="F97" l="1"/>
  <c r="H97" s="1"/>
  <c r="I97"/>
  <c r="C98" s="1"/>
  <c r="F39"/>
  <c r="H39" s="1"/>
  <c r="I39"/>
  <c r="C40" s="1"/>
  <c r="D25" i="12"/>
  <c r="AC63" i="10"/>
  <c r="R96" i="7"/>
  <c r="J38"/>
  <c r="R38"/>
  <c r="F40" l="1"/>
  <c r="H40" s="1"/>
  <c r="I40"/>
  <c r="C41" s="1"/>
  <c r="F98"/>
  <c r="H98" s="1"/>
  <c r="D23" i="12"/>
  <c r="D27"/>
  <c r="R39" i="7"/>
  <c r="J39"/>
  <c r="R97"/>
  <c r="R98" l="1"/>
  <c r="F41"/>
  <c r="H41" s="1"/>
  <c r="I41"/>
  <c r="C42" s="1"/>
  <c r="J40"/>
  <c r="R40"/>
  <c r="I98"/>
  <c r="C99" s="1"/>
  <c r="F42" l="1"/>
  <c r="H42" s="1"/>
  <c r="I42"/>
  <c r="C43" s="1"/>
  <c r="F99"/>
  <c r="H99" s="1"/>
  <c r="I99"/>
  <c r="C100" s="1"/>
  <c r="R41"/>
  <c r="J41"/>
  <c r="F100" l="1"/>
  <c r="H100" s="1"/>
  <c r="I100"/>
  <c r="C101" s="1"/>
  <c r="F43"/>
  <c r="H43" s="1"/>
  <c r="I43"/>
  <c r="C44" s="1"/>
  <c r="R99"/>
  <c r="J42"/>
  <c r="R42"/>
  <c r="F44" l="1"/>
  <c r="H44" s="1"/>
  <c r="I44"/>
  <c r="C45" s="1"/>
  <c r="F101"/>
  <c r="H101" s="1"/>
  <c r="I101"/>
  <c r="C102" s="1"/>
  <c r="R43"/>
  <c r="J43"/>
  <c r="R100"/>
  <c r="F102" l="1"/>
  <c r="H102" s="1"/>
  <c r="I102"/>
  <c r="C103" s="1"/>
  <c r="F45"/>
  <c r="H45" s="1"/>
  <c r="I45"/>
  <c r="C46" s="1"/>
  <c r="R101"/>
  <c r="J44"/>
  <c r="R44"/>
  <c r="F46" l="1"/>
  <c r="H46" s="1"/>
  <c r="I46"/>
  <c r="C47" s="1"/>
  <c r="F103"/>
  <c r="H103" s="1"/>
  <c r="I103"/>
  <c r="C104" s="1"/>
  <c r="J45"/>
  <c r="R45"/>
  <c r="R102"/>
  <c r="F104" l="1"/>
  <c r="H104" s="1"/>
  <c r="I104"/>
  <c r="C105" s="1"/>
  <c r="F47"/>
  <c r="H47" s="1"/>
  <c r="I47"/>
  <c r="C48" s="1"/>
  <c r="R103"/>
  <c r="J46"/>
  <c r="R46"/>
  <c r="P46" s="1"/>
  <c r="F48" l="1"/>
  <c r="H48" s="1"/>
  <c r="I48"/>
  <c r="C49" s="1"/>
  <c r="F105"/>
  <c r="H105" s="1"/>
  <c r="I105"/>
  <c r="C106" s="1"/>
  <c r="J47"/>
  <c r="R47"/>
  <c r="R104"/>
  <c r="F106" l="1"/>
  <c r="H106" s="1"/>
  <c r="I106"/>
  <c r="C107" s="1"/>
  <c r="F49"/>
  <c r="H49" s="1"/>
  <c r="I49"/>
  <c r="C50" s="1"/>
  <c r="R105"/>
  <c r="R48"/>
  <c r="J48"/>
  <c r="F50" l="1"/>
  <c r="H50" s="1"/>
  <c r="I50"/>
  <c r="C51" s="1"/>
  <c r="F107"/>
  <c r="H107" s="1"/>
  <c r="I107"/>
  <c r="C108" s="1"/>
  <c r="J49"/>
  <c r="R49"/>
  <c r="R106"/>
  <c r="P106" s="1"/>
  <c r="F108" l="1"/>
  <c r="H108" s="1"/>
  <c r="I108"/>
  <c r="C109" s="1"/>
  <c r="F51"/>
  <c r="H51" s="1"/>
  <c r="I51"/>
  <c r="C52" s="1"/>
  <c r="R107"/>
  <c r="J50"/>
  <c r="R50"/>
  <c r="F52" l="1"/>
  <c r="H52" s="1"/>
  <c r="F109"/>
  <c r="H109" s="1"/>
  <c r="R51"/>
  <c r="J51"/>
  <c r="R108"/>
  <c r="R109" l="1"/>
  <c r="J52"/>
  <c r="R52"/>
  <c r="I109"/>
  <c r="C110" s="1"/>
  <c r="I52"/>
  <c r="C53" s="1"/>
  <c r="F53" l="1"/>
  <c r="H53" s="1"/>
  <c r="I53" s="1"/>
  <c r="C54" s="1"/>
  <c r="F110"/>
  <c r="H110" s="1"/>
  <c r="I110"/>
  <c r="C111" s="1"/>
  <c r="F111" l="1"/>
  <c r="H111" s="1"/>
  <c r="I111"/>
  <c r="C112" s="1"/>
  <c r="F54"/>
  <c r="H54" s="1"/>
  <c r="I54" s="1"/>
  <c r="C55" s="1"/>
  <c r="R110"/>
  <c r="R53"/>
  <c r="J53"/>
  <c r="F55" l="1"/>
  <c r="H55" s="1"/>
  <c r="I55" s="1"/>
  <c r="C56" s="1"/>
  <c r="F112"/>
  <c r="H112" s="1"/>
  <c r="I112"/>
  <c r="C113" s="1"/>
  <c r="J54"/>
  <c r="R54"/>
  <c r="R111"/>
  <c r="F113" l="1"/>
  <c r="H113" s="1"/>
  <c r="I113"/>
  <c r="C114" s="1"/>
  <c r="F56"/>
  <c r="H56" s="1"/>
  <c r="I56" s="1"/>
  <c r="C57" s="1"/>
  <c r="R112"/>
  <c r="R55"/>
  <c r="J55"/>
  <c r="F57" l="1"/>
  <c r="H57" s="1"/>
  <c r="F114"/>
  <c r="H114" s="1"/>
  <c r="I114" s="1"/>
  <c r="C115" s="1"/>
  <c r="J56"/>
  <c r="R56"/>
  <c r="R113"/>
  <c r="F115" l="1"/>
  <c r="H115" s="1"/>
  <c r="I115"/>
  <c r="C116" s="1"/>
  <c r="J57"/>
  <c r="J58" s="1"/>
  <c r="R57"/>
  <c r="P58" s="1"/>
  <c r="R114"/>
  <c r="I57"/>
  <c r="C58" s="1"/>
  <c r="F116" l="1"/>
  <c r="H116" s="1"/>
  <c r="I116"/>
  <c r="C117" s="1"/>
  <c r="I58"/>
  <c r="C59" s="1"/>
  <c r="F58"/>
  <c r="R115"/>
  <c r="F117" l="1"/>
  <c r="H117" s="1"/>
  <c r="I117"/>
  <c r="C118" s="1"/>
  <c r="F59"/>
  <c r="H59" s="1"/>
  <c r="I59"/>
  <c r="C60" s="1"/>
  <c r="R116"/>
  <c r="F60" l="1"/>
  <c r="H60" s="1"/>
  <c r="I60" s="1"/>
  <c r="C61" s="1"/>
  <c r="F118"/>
  <c r="H118" s="1"/>
  <c r="J59"/>
  <c r="R59"/>
  <c r="R117"/>
  <c r="R118" l="1"/>
  <c r="P118" s="1"/>
  <c r="F61"/>
  <c r="H61" s="1"/>
  <c r="I61" s="1"/>
  <c r="C62" s="1"/>
  <c r="R60"/>
  <c r="J60"/>
  <c r="I118"/>
  <c r="C119" s="1"/>
  <c r="F119" l="1"/>
  <c r="H119" s="1"/>
  <c r="I119"/>
  <c r="C120" s="1"/>
  <c r="F62"/>
  <c r="H62" s="1"/>
  <c r="I62" s="1"/>
  <c r="C63" s="1"/>
  <c r="R61"/>
  <c r="J61"/>
  <c r="F63" l="1"/>
  <c r="H63" s="1"/>
  <c r="I63" s="1"/>
  <c r="C64" s="1"/>
  <c r="F120"/>
  <c r="H120" s="1"/>
  <c r="I120"/>
  <c r="C121" s="1"/>
  <c r="R62"/>
  <c r="J62"/>
  <c r="R119"/>
  <c r="F121" l="1"/>
  <c r="H121" s="1"/>
  <c r="I121"/>
  <c r="C122" s="1"/>
  <c r="F64"/>
  <c r="H64" s="1"/>
  <c r="I64" s="1"/>
  <c r="C65" s="1"/>
  <c r="R120"/>
  <c r="J63"/>
  <c r="R63"/>
  <c r="F65" l="1"/>
  <c r="H65" s="1"/>
  <c r="F122"/>
  <c r="H122" s="1"/>
  <c r="J64"/>
  <c r="R64"/>
  <c r="R121"/>
  <c r="R122" l="1"/>
  <c r="J65"/>
  <c r="R65"/>
  <c r="I122"/>
  <c r="C123" s="1"/>
  <c r="I65"/>
  <c r="C66" s="1"/>
  <c r="F123" l="1"/>
  <c r="H123" s="1"/>
  <c r="I123"/>
  <c r="C124" s="1"/>
  <c r="F66"/>
  <c r="H66" s="1"/>
  <c r="I66" s="1"/>
  <c r="C67" s="1"/>
  <c r="I67" s="1"/>
  <c r="F124" l="1"/>
  <c r="H124" s="1"/>
  <c r="I124"/>
  <c r="C125" s="1"/>
  <c r="R66"/>
  <c r="P70" s="1"/>
  <c r="J66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R123"/>
  <c r="F125" l="1"/>
  <c r="H125" s="1"/>
  <c r="I125"/>
  <c r="C126" s="1"/>
  <c r="J124"/>
  <c r="R124"/>
  <c r="F126" l="1"/>
  <c r="H126" s="1"/>
  <c r="I126"/>
  <c r="C127" s="1"/>
  <c r="R125"/>
  <c r="J125"/>
  <c r="F127" l="1"/>
  <c r="H127" s="1"/>
  <c r="I127"/>
  <c r="C128" s="1"/>
  <c r="R126"/>
  <c r="J126"/>
  <c r="F128" l="1"/>
  <c r="H128" s="1"/>
  <c r="I128"/>
  <c r="C129" s="1"/>
  <c r="J127"/>
  <c r="R127"/>
  <c r="F129" l="1"/>
  <c r="H129" s="1"/>
  <c r="I129"/>
  <c r="C130" s="1"/>
  <c r="J128"/>
  <c r="R128"/>
  <c r="F130" l="1"/>
  <c r="H130" s="1"/>
  <c r="I130"/>
  <c r="C131" s="1"/>
  <c r="R129"/>
  <c r="J129"/>
  <c r="F131" l="1"/>
  <c r="H131" s="1"/>
  <c r="I131"/>
  <c r="C132" s="1"/>
  <c r="J130"/>
  <c r="R130"/>
  <c r="P130" s="1"/>
  <c r="F132" l="1"/>
  <c r="H132" s="1"/>
  <c r="I132"/>
  <c r="C133" s="1"/>
  <c r="J131"/>
  <c r="R131"/>
  <c r="F133" l="1"/>
  <c r="H133" s="1"/>
  <c r="I133"/>
  <c r="C134" s="1"/>
  <c r="J132"/>
  <c r="R132"/>
  <c r="F134" l="1"/>
  <c r="H134" s="1"/>
  <c r="J133"/>
  <c r="R133"/>
  <c r="J134" l="1"/>
  <c r="R134"/>
  <c r="I134"/>
  <c r="C135" s="1"/>
  <c r="F135" l="1"/>
  <c r="H135" s="1"/>
  <c r="I135"/>
  <c r="C136" s="1"/>
  <c r="F136" l="1"/>
  <c r="H136" s="1"/>
  <c r="I136"/>
  <c r="C137" s="1"/>
  <c r="J135"/>
  <c r="R135"/>
  <c r="F137" l="1"/>
  <c r="H137" s="1"/>
  <c r="I137"/>
  <c r="C138" s="1"/>
  <c r="J136"/>
  <c r="R136"/>
  <c r="F138" l="1"/>
  <c r="H138" s="1"/>
  <c r="I138"/>
  <c r="C139" s="1"/>
  <c r="J137"/>
  <c r="R137"/>
  <c r="F139" l="1"/>
  <c r="H139" s="1"/>
  <c r="I139"/>
  <c r="C140" s="1"/>
  <c r="R138"/>
  <c r="J138"/>
  <c r="F140" l="1"/>
  <c r="H140" s="1"/>
  <c r="I140"/>
  <c r="C141" s="1"/>
  <c r="R139"/>
  <c r="J139"/>
  <c r="F141" l="1"/>
  <c r="H141" s="1"/>
  <c r="I141"/>
  <c r="C142" s="1"/>
  <c r="J140"/>
  <c r="R140"/>
  <c r="F142" l="1"/>
  <c r="H142" s="1"/>
  <c r="J141"/>
  <c r="R141"/>
  <c r="R142" l="1"/>
  <c r="P142" s="1"/>
  <c r="J142"/>
  <c r="I142"/>
  <c r="C143" s="1"/>
  <c r="F143" l="1"/>
  <c r="H143" s="1"/>
  <c r="I143"/>
  <c r="C144" s="1"/>
  <c r="F144" l="1"/>
  <c r="H144" s="1"/>
  <c r="I144"/>
  <c r="C145" s="1"/>
  <c r="J143"/>
  <c r="R143"/>
  <c r="F145" l="1"/>
  <c r="H145" s="1"/>
  <c r="I145"/>
  <c r="C146" s="1"/>
  <c r="R144"/>
  <c r="J144"/>
  <c r="F146" l="1"/>
  <c r="H146" s="1"/>
  <c r="I146"/>
  <c r="C147" s="1"/>
  <c r="R145"/>
  <c r="J145"/>
  <c r="F147" l="1"/>
  <c r="H147" s="1"/>
  <c r="I147"/>
  <c r="C148" s="1"/>
  <c r="R146"/>
  <c r="J146"/>
  <c r="F148" l="1"/>
  <c r="H148" s="1"/>
  <c r="I148"/>
  <c r="C149" s="1"/>
  <c r="J147"/>
  <c r="R147"/>
  <c r="F149" l="1"/>
  <c r="H149" s="1"/>
  <c r="I149"/>
  <c r="C150" s="1"/>
  <c r="R148"/>
  <c r="J148"/>
  <c r="F150" l="1"/>
  <c r="H150" s="1"/>
  <c r="I150"/>
  <c r="C151" s="1"/>
  <c r="J149"/>
  <c r="R149"/>
  <c r="F151" l="1"/>
  <c r="H151" s="1"/>
  <c r="I151"/>
  <c r="C152" s="1"/>
  <c r="R150"/>
  <c r="J150"/>
  <c r="F152" l="1"/>
  <c r="H152" s="1"/>
  <c r="I152"/>
  <c r="C153" s="1"/>
  <c r="R151"/>
  <c r="J151"/>
  <c r="F153" l="1"/>
  <c r="H153" s="1"/>
  <c r="I153"/>
  <c r="C154" s="1"/>
  <c r="R152"/>
  <c r="J152"/>
  <c r="F154" l="1"/>
  <c r="H154" s="1"/>
  <c r="I154"/>
  <c r="C155" s="1"/>
  <c r="R153"/>
  <c r="J153"/>
  <c r="F155" l="1"/>
  <c r="H155" s="1"/>
  <c r="I155"/>
  <c r="C156" s="1"/>
  <c r="R154"/>
  <c r="P154" s="1"/>
  <c r="J154"/>
  <c r="F156" l="1"/>
  <c r="H156" s="1"/>
  <c r="I156"/>
  <c r="C157" s="1"/>
  <c r="R155"/>
  <c r="J155"/>
  <c r="F157" l="1"/>
  <c r="H157" s="1"/>
  <c r="I157"/>
  <c r="C158" s="1"/>
  <c r="J156"/>
  <c r="R156"/>
  <c r="F158" l="1"/>
  <c r="H158" s="1"/>
  <c r="I158"/>
  <c r="C159" s="1"/>
  <c r="J157"/>
  <c r="R157"/>
  <c r="F159" l="1"/>
  <c r="H159" s="1"/>
  <c r="I159"/>
  <c r="C160" s="1"/>
  <c r="J158"/>
  <c r="R158"/>
  <c r="F160" l="1"/>
  <c r="H160" s="1"/>
  <c r="I160"/>
  <c r="C161" s="1"/>
  <c r="J159"/>
  <c r="R159"/>
  <c r="F161" l="1"/>
  <c r="H161" s="1"/>
  <c r="I161"/>
  <c r="C162" s="1"/>
  <c r="J160"/>
  <c r="R160"/>
  <c r="F162" l="1"/>
  <c r="H162" s="1"/>
  <c r="I162"/>
  <c r="C163" s="1"/>
  <c r="J161"/>
  <c r="R161"/>
  <c r="F163" l="1"/>
  <c r="H163" s="1"/>
  <c r="I163"/>
  <c r="C164" s="1"/>
  <c r="R162"/>
  <c r="J162"/>
  <c r="F164" l="1"/>
  <c r="H164" s="1"/>
  <c r="I164"/>
  <c r="C165" s="1"/>
  <c r="R163"/>
  <c r="J163"/>
  <c r="F165" l="1"/>
  <c r="H165" s="1"/>
  <c r="I165"/>
  <c r="C166" s="1"/>
  <c r="R164"/>
  <c r="J164"/>
  <c r="F166" l="1"/>
  <c r="H166" s="1"/>
  <c r="J165"/>
  <c r="R165"/>
  <c r="R166" l="1"/>
  <c r="J166"/>
  <c r="I166"/>
  <c r="C167" s="1"/>
  <c r="F167" l="1"/>
  <c r="H167" s="1"/>
  <c r="I167"/>
  <c r="C168" s="1"/>
  <c r="R194"/>
  <c r="P166"/>
  <c r="P194" s="1"/>
  <c r="F168" l="1"/>
  <c r="H168" s="1"/>
  <c r="I168"/>
  <c r="C169" s="1"/>
  <c r="J167"/>
  <c r="R167"/>
  <c r="P167" l="1"/>
  <c r="F169"/>
  <c r="H169" s="1"/>
  <c r="J168"/>
  <c r="R168"/>
  <c r="P168" l="1"/>
  <c r="J169"/>
  <c r="R169"/>
  <c r="I169"/>
  <c r="C170" s="1"/>
  <c r="F170" l="1"/>
  <c r="H170" s="1"/>
  <c r="I170"/>
  <c r="C171" s="1"/>
  <c r="P169"/>
  <c r="F171" l="1"/>
  <c r="H171" s="1"/>
  <c r="R170"/>
  <c r="J170"/>
  <c r="J171" l="1"/>
  <c r="R171"/>
  <c r="P170"/>
  <c r="I171"/>
  <c r="C172" s="1"/>
  <c r="F172" l="1"/>
  <c r="H172" s="1"/>
  <c r="I172"/>
  <c r="C173" s="1"/>
  <c r="P171"/>
  <c r="F173" l="1"/>
  <c r="H173" s="1"/>
  <c r="R172"/>
  <c r="J172"/>
  <c r="J173" l="1"/>
  <c r="R173"/>
  <c r="P172"/>
  <c r="I173"/>
  <c r="C174" s="1"/>
  <c r="P173" l="1"/>
  <c r="F174"/>
  <c r="H174" s="1"/>
  <c r="I174" s="1"/>
  <c r="C175" s="1"/>
  <c r="F175" l="1"/>
  <c r="H175" s="1"/>
  <c r="I175"/>
  <c r="C176" s="1"/>
  <c r="J174"/>
  <c r="R174"/>
  <c r="P174" l="1"/>
  <c r="F176"/>
  <c r="H176" s="1"/>
  <c r="I176" s="1"/>
  <c r="C177" s="1"/>
  <c r="J175"/>
  <c r="R175"/>
  <c r="P175" l="1"/>
  <c r="F177"/>
  <c r="H177" s="1"/>
  <c r="I177" s="1"/>
  <c r="C178" s="1"/>
  <c r="J176"/>
  <c r="R176"/>
  <c r="P176" l="1"/>
  <c r="F178"/>
  <c r="H178" s="1"/>
  <c r="I178" s="1"/>
  <c r="C179" s="1"/>
  <c r="R177"/>
  <c r="J177"/>
  <c r="F179" l="1"/>
  <c r="H179" s="1"/>
  <c r="I179"/>
  <c r="C180" s="1"/>
  <c r="P177"/>
  <c r="J178"/>
  <c r="R178"/>
  <c r="F180" l="1"/>
  <c r="H180" s="1"/>
  <c r="I180"/>
  <c r="C181" s="1"/>
  <c r="P178"/>
  <c r="R179"/>
  <c r="J179"/>
  <c r="F181" l="1"/>
  <c r="H181" s="1"/>
  <c r="I181"/>
  <c r="C182" s="1"/>
  <c r="P179"/>
  <c r="J180"/>
  <c r="R180"/>
  <c r="F182" l="1"/>
  <c r="H182" s="1"/>
  <c r="I182"/>
  <c r="C183" s="1"/>
  <c r="P180"/>
  <c r="R181"/>
  <c r="J181"/>
  <c r="P181" l="1"/>
  <c r="F183"/>
  <c r="H183" s="1"/>
  <c r="R182"/>
  <c r="J182"/>
  <c r="J183" l="1"/>
  <c r="R183"/>
  <c r="P182"/>
  <c r="I183"/>
  <c r="C184" s="1"/>
  <c r="P183" l="1"/>
  <c r="F184"/>
  <c r="H184" s="1"/>
  <c r="R184" l="1"/>
  <c r="J184"/>
  <c r="I184"/>
  <c r="C185" s="1"/>
  <c r="F185" l="1"/>
  <c r="H185" s="1"/>
  <c r="P184"/>
  <c r="R185" l="1"/>
  <c r="P185" s="1"/>
  <c r="J185"/>
  <c r="I185"/>
  <c r="C186" s="1"/>
  <c r="F186" l="1"/>
  <c r="H186" s="1"/>
  <c r="R186" l="1"/>
  <c r="P186" s="1"/>
  <c r="J186"/>
  <c r="I186"/>
  <c r="C187" s="1"/>
  <c r="F187" l="1"/>
  <c r="H187" s="1"/>
  <c r="R187" l="1"/>
  <c r="P187" s="1"/>
  <c r="J187"/>
  <c r="I187"/>
  <c r="C188" s="1"/>
  <c r="F188" l="1"/>
  <c r="H188" s="1"/>
  <c r="R188" l="1"/>
  <c r="P188" s="1"/>
  <c r="J188"/>
  <c r="I188"/>
  <c r="C189" s="1"/>
  <c r="F189" l="1"/>
  <c r="H189" s="1"/>
  <c r="I189"/>
  <c r="C190" s="1"/>
  <c r="F190" l="1"/>
  <c r="H190" s="1"/>
  <c r="I190"/>
  <c r="R189"/>
  <c r="P189" s="1"/>
  <c r="J189"/>
  <c r="R190" l="1"/>
  <c r="P190" s="1"/>
  <c r="J190"/>
</calcChain>
</file>

<file path=xl/sharedStrings.xml><?xml version="1.0" encoding="utf-8"?>
<sst xmlns="http://schemas.openxmlformats.org/spreadsheetml/2006/main" count="331" uniqueCount="106">
  <si>
    <t>Transmission Study</t>
  </si>
  <si>
    <t>Meterological tower installation</t>
  </si>
  <si>
    <t>Vendor Negotiations</t>
  </si>
  <si>
    <t>Gulf Labor &amp; Travel</t>
  </si>
  <si>
    <t>Site Investigation</t>
  </si>
  <si>
    <t>Need Determination Filing</t>
  </si>
  <si>
    <t>Project Support Costs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</si>
  <si>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</si>
  <si>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</si>
  <si>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</si>
  <si>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</si>
  <si>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</si>
  <si>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</si>
  <si>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</si>
  <si>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</si>
  <si>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</si>
  <si>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</si>
  <si>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</si>
  <si>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</si>
  <si>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 Interest</t>
  </si>
  <si>
    <t>With Interest</t>
  </si>
  <si>
    <t>BEG</t>
  </si>
  <si>
    <t>AFUDC</t>
  </si>
  <si>
    <t>END</t>
  </si>
  <si>
    <t>Expend</t>
  </si>
  <si>
    <t>Annual Exp</t>
  </si>
  <si>
    <t>Annual PIS</t>
  </si>
  <si>
    <t>BAL</t>
  </si>
  <si>
    <t>Clearings</t>
  </si>
  <si>
    <t>Base</t>
  </si>
  <si>
    <t>MO Rate</t>
  </si>
  <si>
    <t>Interest</t>
  </si>
  <si>
    <t>PTD</t>
  </si>
  <si>
    <t>Annual</t>
  </si>
  <si>
    <t>Placed</t>
  </si>
  <si>
    <t>july</t>
  </si>
  <si>
    <t>SEPT</t>
  </si>
  <si>
    <t>JUNE</t>
  </si>
  <si>
    <t>JULY</t>
  </si>
  <si>
    <t>Total</t>
  </si>
  <si>
    <t>Nuclear Development</t>
  </si>
  <si>
    <t>NUCLEAR PROJECT COSTS</t>
  </si>
  <si>
    <t>ACTIVITY</t>
  </si>
  <si>
    <t>Balance Projected</t>
  </si>
  <si>
    <t>2011</t>
  </si>
  <si>
    <t>DEC 2011</t>
  </si>
  <si>
    <t>Site Acquisition</t>
  </si>
  <si>
    <t>Land Costs</t>
  </si>
  <si>
    <t>Utilities (water &amp; electricity for house) &amp; maintenance</t>
  </si>
  <si>
    <t>Property Taxes</t>
  </si>
  <si>
    <t>Gulf Support Costs related to Land Acquisition</t>
  </si>
  <si>
    <t>Legal fees related to Land Acquisition</t>
  </si>
  <si>
    <t>Total Site Acquisition</t>
  </si>
  <si>
    <t>1st Round Geotechnical Analysis</t>
  </si>
  <si>
    <t>Geotech Inv-SCS Earth Science &amp; Env Engineering</t>
  </si>
  <si>
    <t>E&amp;CS Resource Pool Billings</t>
  </si>
  <si>
    <t>Retail Generation Development Support</t>
  </si>
  <si>
    <t>Hydrogeological Study</t>
  </si>
  <si>
    <t>Southern Nuclear labor / travel expenses (Site Inv Support)</t>
  </si>
  <si>
    <t>Gulf Support Costs related to Site Investigation</t>
  </si>
  <si>
    <t>Legal fees related to Site Investigation</t>
  </si>
  <si>
    <t>Total Site Investigation</t>
  </si>
  <si>
    <t>Legal fees</t>
  </si>
  <si>
    <t>SCS Support (Resource Planning &amp; Financial Planning)</t>
  </si>
  <si>
    <t>Legal Fees</t>
  </si>
  <si>
    <t>Total Project Support Costs</t>
  </si>
  <si>
    <t>UWF Generation Study/Economic Analysis</t>
  </si>
  <si>
    <t>UWF Costs</t>
  </si>
  <si>
    <t>Project Frank</t>
  </si>
  <si>
    <t>TOTAL COSTS EXCLUDING CARRYING COSTS</t>
  </si>
  <si>
    <t>Ending Balance</t>
  </si>
  <si>
    <t>2011 Budget</t>
  </si>
  <si>
    <t>Dec 2010</t>
  </si>
  <si>
    <t>DEC 2012</t>
  </si>
  <si>
    <t>Gulf Labor Overheads</t>
  </si>
  <si>
    <t>Environmental Assessments &amp; clean up</t>
  </si>
  <si>
    <t>Phase 1  Fatal Flaw Analysis (Bechtel site conceptual engineering)</t>
  </si>
  <si>
    <t xml:space="preserve">Phase  1 Fatal Flaw Analysis (Mactec/survey clearing work) </t>
  </si>
  <si>
    <t>Meterological tower maintenance</t>
  </si>
  <si>
    <t>TOTAL CHARGES TO 182-00764/18231022</t>
  </si>
  <si>
    <t>Account 182-00764/31022 Budget Projection for 2011 and 2012</t>
  </si>
  <si>
    <t xml:space="preserve">Land </t>
  </si>
  <si>
    <t>Other Site Acquisition Costs</t>
  </si>
  <si>
    <t>Total Site Acquisition Costs</t>
  </si>
  <si>
    <t>Legal Fees (Need determination)</t>
  </si>
  <si>
    <t>UWF Generation Study/Econcomic Analysis</t>
  </si>
  <si>
    <t>Total Costs (excl. Carrying Costs)</t>
  </si>
  <si>
    <t>Total Deferred Charges</t>
  </si>
  <si>
    <t>End Bal.</t>
  </si>
  <si>
    <t>13MA</t>
  </si>
  <si>
    <t>AFUDC Project To Date</t>
  </si>
  <si>
    <t>Gulf Power</t>
  </si>
  <si>
    <t>Southern Nuclear labor / travel expenses (General Support)</t>
  </si>
  <si>
    <t>State Site Certification Preparation and Filing (Preliminary Estimate)</t>
  </si>
  <si>
    <t>End. Balance</t>
  </si>
  <si>
    <t>Land</t>
  </si>
  <si>
    <t>Other Site Acquisiton Costs</t>
  </si>
  <si>
    <t>Legal Fees (Need Determination)</t>
  </si>
  <si>
    <t>Total Costs (excl Carrying Costs)</t>
  </si>
  <si>
    <t>AFUDC Capitalized (Project to Date)</t>
  </si>
  <si>
    <t>PHFU Adjustment</t>
  </si>
  <si>
    <t xml:space="preserve">Less: 2012 Accrued AFUDC </t>
  </si>
  <si>
    <t>Nuclear Deferred Charges (2011 Rate Case Backup)</t>
  </si>
  <si>
    <t>Actuals through 2010</t>
  </si>
  <si>
    <t>Nuclear Deferred Asset - PHFU Adjustment</t>
  </si>
  <si>
    <t>CARRYING COSTS (includes only Actuals through Dec 2010)  FP to calculate projected carry cost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</si>
</sst>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0.00000000"/>
    <numFmt numFmtId="166" formatCode="0.0000"/>
    <numFmt numFmtId="167" formatCode="mmm\-yyyy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2"/>
      <name val="Arial MT"/>
      <family val="2"/>
    </font>
    <font>
      <sz val="18"/>
      <name val="Times New Roman"/>
      <family val="1"/>
    </font>
    <font>
      <sz val="12"/>
      <color indexed="9"/>
      <name val="Arial MT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i/>
      <sz val="14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sz val="14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left" wrapText="1"/>
    </xf>
    <xf numFmtId="0" fontId="6" fillId="0" borderId="0"/>
  </cellStyleXfs>
  <cellXfs count="71">
    <xf numFmtId="0" fontId="0" fillId="0" borderId="0" xfId="0"/>
    <xf numFmtId="0" fontId="0" fillId="0" borderId="0" xfId="0" applyFill="1"/>
    <xf numFmtId="164" fontId="1" fillId="0" borderId="0" xfId="2" applyNumberFormat="1" applyFill="1"/>
    <xf numFmtId="166" fontId="0" fillId="0" borderId="0" xfId="0" applyNumberFormat="1" applyFill="1"/>
    <xf numFmtId="0" fontId="0" fillId="0" borderId="0" xfId="0" applyFill="1" applyAlignment="1">
      <alignment horizontal="center"/>
    </xf>
    <xf numFmtId="164" fontId="1" fillId="0" borderId="0" xfId="2" applyNumberFormat="1" applyFill="1" applyAlignment="1">
      <alignment horizontal="center"/>
    </xf>
    <xf numFmtId="0" fontId="0" fillId="0" borderId="1" xfId="0" applyFill="1" applyBorder="1" applyAlignment="1">
      <alignment horizontal="left"/>
    </xf>
    <xf numFmtId="37" fontId="0" fillId="0" borderId="0" xfId="0" applyNumberFormat="1" applyFill="1"/>
    <xf numFmtId="0" fontId="0" fillId="0" borderId="0" xfId="0" quotePrefix="1" applyFill="1"/>
    <xf numFmtId="164" fontId="7" fillId="0" borderId="0" xfId="2" applyNumberFormat="1" applyFont="1" applyFill="1"/>
    <xf numFmtId="165" fontId="0" fillId="0" borderId="0" xfId="0" quotePrefix="1" applyNumberFormat="1" applyFill="1"/>
    <xf numFmtId="39" fontId="0" fillId="0" borderId="0" xfId="0" applyNumberFormat="1" applyFill="1"/>
    <xf numFmtId="0" fontId="0" fillId="0" borderId="2" xfId="0" applyFill="1" applyBorder="1"/>
    <xf numFmtId="0" fontId="0" fillId="0" borderId="3" xfId="0" applyFill="1" applyBorder="1" applyAlignment="1">
      <alignment horizontal="left"/>
    </xf>
    <xf numFmtId="0" fontId="0" fillId="0" borderId="4" xfId="0" applyFill="1" applyBorder="1"/>
    <xf numFmtId="37" fontId="0" fillId="0" borderId="4" xfId="0" applyNumberFormat="1" applyFill="1" applyBorder="1"/>
    <xf numFmtId="164" fontId="1" fillId="0" borderId="4" xfId="2" applyNumberFormat="1" applyFill="1" applyBorder="1"/>
    <xf numFmtId="37" fontId="0" fillId="0" borderId="5" xfId="0" applyNumberFormat="1" applyFill="1" applyBorder="1"/>
    <xf numFmtId="164" fontId="0" fillId="0" borderId="0" xfId="0" applyNumberFormat="1" applyFill="1"/>
    <xf numFmtId="0" fontId="0" fillId="0" borderId="6" xfId="0" applyFill="1" applyBorder="1" applyAlignment="1">
      <alignment horizontal="left"/>
    </xf>
    <xf numFmtId="165" fontId="0" fillId="0" borderId="0" xfId="0" applyNumberFormat="1" applyFill="1"/>
    <xf numFmtId="37" fontId="9" fillId="0" borderId="0" xfId="0" applyNumberFormat="1" applyFont="1" applyFill="1"/>
    <xf numFmtId="164" fontId="10" fillId="0" borderId="0" xfId="3" applyNumberFormat="1" applyFont="1" applyFill="1" applyAlignment="1">
      <alignment horizontal="left"/>
    </xf>
    <xf numFmtId="164" fontId="10" fillId="0" borderId="0" xfId="3" quotePrefix="1" applyNumberFormat="1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14" fillId="0" borderId="0" xfId="6" applyFont="1" applyFill="1" applyAlignment="1">
      <alignment horizontal="left"/>
    </xf>
    <xf numFmtId="0" fontId="12" fillId="0" borderId="0" xfId="6" applyFont="1" applyFill="1" applyAlignment="1">
      <alignment horizontal="left"/>
    </xf>
    <xf numFmtId="0" fontId="12" fillId="0" borderId="0" xfId="6" applyFont="1" applyFill="1"/>
    <xf numFmtId="164" fontId="12" fillId="0" borderId="0" xfId="3" applyNumberFormat="1" applyFont="1" applyFill="1" applyBorder="1"/>
    <xf numFmtId="164" fontId="12" fillId="0" borderId="0" xfId="3" applyNumberFormat="1" applyFont="1" applyFill="1"/>
    <xf numFmtId="43" fontId="12" fillId="0" borderId="0" xfId="2" applyFont="1" applyFill="1" applyBorder="1"/>
    <xf numFmtId="0" fontId="12" fillId="0" borderId="0" xfId="6" applyFont="1" applyFill="1" applyAlignment="1">
      <alignment horizontal="right"/>
    </xf>
    <xf numFmtId="0" fontId="14" fillId="0" borderId="0" xfId="6" applyFont="1" applyFill="1"/>
    <xf numFmtId="0" fontId="12" fillId="0" borderId="0" xfId="6" quotePrefix="1" applyFont="1" applyFill="1" applyAlignment="1">
      <alignment horizontal="left"/>
    </xf>
    <xf numFmtId="164" fontId="12" fillId="0" borderId="0" xfId="2" applyNumberFormat="1" applyFont="1" applyFill="1"/>
    <xf numFmtId="0" fontId="2" fillId="0" borderId="0" xfId="0" applyFont="1" applyFill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4" fontId="0" fillId="0" borderId="0" xfId="2" applyNumberFormat="1" applyFont="1" applyFill="1"/>
    <xf numFmtId="164" fontId="0" fillId="0" borderId="7" xfId="2" applyNumberFormat="1" applyFont="1" applyFill="1" applyBorder="1"/>
    <xf numFmtId="164" fontId="0" fillId="0" borderId="7" xfId="0" applyNumberFormat="1" applyFill="1" applyBorder="1"/>
    <xf numFmtId="0" fontId="0" fillId="0" borderId="7" xfId="0" applyFill="1" applyBorder="1"/>
    <xf numFmtId="43" fontId="0" fillId="0" borderId="0" xfId="0" applyNumberFormat="1" applyFill="1"/>
    <xf numFmtId="164" fontId="0" fillId="0" borderId="8" xfId="2" applyNumberFormat="1" applyFont="1" applyFill="1" applyBorder="1"/>
    <xf numFmtId="164" fontId="0" fillId="0" borderId="8" xfId="0" applyNumberFormat="1" applyFill="1" applyBorder="1"/>
    <xf numFmtId="164" fontId="15" fillId="0" borderId="0" xfId="3" applyNumberFormat="1" applyFont="1" applyFill="1"/>
    <xf numFmtId="0" fontId="2" fillId="0" borderId="0" xfId="6" applyFont="1" applyFill="1"/>
    <xf numFmtId="0" fontId="1" fillId="0" borderId="0" xfId="6" applyFill="1"/>
    <xf numFmtId="0" fontId="11" fillId="0" borderId="0" xfId="6" applyFont="1" applyFill="1" applyAlignment="1">
      <alignment horizontal="center"/>
    </xf>
    <xf numFmtId="17" fontId="11" fillId="0" borderId="0" xfId="6" applyNumberFormat="1" applyFont="1" applyFill="1" applyAlignment="1">
      <alignment horizontal="center"/>
    </xf>
    <xf numFmtId="0" fontId="1" fillId="0" borderId="0" xfId="6" applyFont="1" applyFill="1"/>
    <xf numFmtId="164" fontId="2" fillId="0" borderId="0" xfId="2" applyNumberFormat="1" applyFont="1" applyFill="1"/>
    <xf numFmtId="164" fontId="2" fillId="0" borderId="8" xfId="2" applyNumberFormat="1" applyFont="1" applyFill="1" applyBorder="1"/>
    <xf numFmtId="164" fontId="2" fillId="0" borderId="8" xfId="6" applyNumberFormat="1" applyFont="1" applyFill="1" applyBorder="1"/>
    <xf numFmtId="37" fontId="1" fillId="0" borderId="0" xfId="0" applyNumberFormat="1" applyFont="1" applyFill="1"/>
    <xf numFmtId="164" fontId="1" fillId="0" borderId="0" xfId="2" applyNumberFormat="1" applyFont="1" applyFill="1"/>
    <xf numFmtId="164" fontId="8" fillId="0" borderId="0" xfId="2" applyNumberFormat="1" applyFont="1" applyFill="1"/>
    <xf numFmtId="43" fontId="12" fillId="0" borderId="0" xfId="3" applyFont="1" applyFill="1"/>
    <xf numFmtId="14" fontId="12" fillId="0" borderId="0" xfId="3" quotePrefix="1" applyNumberFormat="1" applyFont="1" applyFill="1"/>
    <xf numFmtId="0" fontId="13" fillId="0" borderId="0" xfId="6" applyFont="1" applyFill="1"/>
    <xf numFmtId="164" fontId="13" fillId="0" borderId="0" xfId="3" applyNumberFormat="1" applyFont="1" applyFill="1" applyAlignment="1">
      <alignment horizontal="center"/>
    </xf>
    <xf numFmtId="164" fontId="13" fillId="0" borderId="0" xfId="3" applyNumberFormat="1" applyFont="1" applyFill="1"/>
    <xf numFmtId="164" fontId="13" fillId="0" borderId="0" xfId="3" quotePrefix="1" applyNumberFormat="1" applyFont="1" applyFill="1" applyAlignment="1">
      <alignment horizontal="center"/>
    </xf>
    <xf numFmtId="0" fontId="13" fillId="0" borderId="0" xfId="3" quotePrefix="1" applyNumberFormat="1" applyFont="1" applyFill="1" applyAlignment="1">
      <alignment horizontal="center"/>
    </xf>
    <xf numFmtId="43" fontId="12" fillId="0" borderId="0" xfId="2" applyFont="1" applyFill="1"/>
    <xf numFmtId="164" fontId="12" fillId="0" borderId="8" xfId="3" applyNumberFormat="1" applyFont="1" applyFill="1" applyBorder="1"/>
    <xf numFmtId="164" fontId="12" fillId="0" borderId="9" xfId="3" applyNumberFormat="1" applyFont="1" applyFill="1" applyBorder="1"/>
    <xf numFmtId="164" fontId="12" fillId="0" borderId="0" xfId="3" applyNumberFormat="1" applyFont="1" applyFill="1" applyAlignment="1">
      <alignment horizontal="right"/>
    </xf>
    <xf numFmtId="0" fontId="12" fillId="0" borderId="0" xfId="6" applyFont="1" applyFill="1" applyAlignment="1"/>
    <xf numFmtId="0" fontId="12" fillId="0" borderId="0" xfId="6" applyFont="1" applyFill="1" applyAlignment="1">
      <alignment wrapText="1"/>
    </xf>
    <xf numFmtId="0" fontId="12" fillId="0" borderId="10" xfId="6" applyFont="1" applyFill="1" applyBorder="1" applyAlignment="1"/>
  </cellXfs>
  <cellStyles count="17">
    <cellStyle name="_x0013_" xfId="1"/>
    <cellStyle name="Comma" xfId="2" builtinId="3"/>
    <cellStyle name="Comma 2" xfId="3"/>
    <cellStyle name="Currency [2]" xfId="4"/>
    <cellStyle name="Input" xfId="5" builtinId="20" customBuiltin="1"/>
    <cellStyle name="Normal" xfId="0" builtinId="0"/>
    <cellStyle name="Normal 2" xfId="6"/>
    <cellStyle name="STYL0 - Style1" xfId="7"/>
    <cellStyle name="STYL1 - Style2" xfId="8"/>
    <cellStyle name="STYL2 - Style3" xfId="9"/>
    <cellStyle name="STYL3 - Style4" xfId="10"/>
    <cellStyle name="STYL4 - Style5" xfId="11"/>
    <cellStyle name="STYL5 - Style6" xfId="12"/>
    <cellStyle name="STYL6 - Style7" xfId="13"/>
    <cellStyle name="STYL7 - Style8" xfId="14"/>
    <cellStyle name="Style 1" xfId="15"/>
    <cellStyle name="Tim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OCK/apci/pearidge%20excluding%20expense%20compe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RHJMARTI$\Data\EXCEL\financial%20planning\DEP%20Agreement\DEP%20Agreement%20Impact%20091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/Budget%20Working%20Papers/2008/AFUDC/2008%20AFUDC%20-%20Actualized%20December_B%20with%201279%20upd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Table"/>
      <sheetName val="AFUDC Calc"/>
      <sheetName val="Multiple Asset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PACITY low"/>
      <sheetName val="Resid.Impact FUEL &amp; ECRC low"/>
      <sheetName val="Residential Bills low"/>
      <sheetName val="CAPACITY High"/>
      <sheetName val="Resid.Impact High"/>
      <sheetName val="Reisd.Bills High"/>
      <sheetName val="Summary of Inputs"/>
      <sheetName val="Items 1-4"/>
      <sheetName val="Alloc of VOM"/>
      <sheetName val="Sheet2"/>
      <sheetName val="Depr Calc"/>
      <sheetName val="1-3 Net Book"/>
      <sheetName val="NET Book"/>
      <sheetName val="Note"/>
      <sheetName val="Case 1 SNCR"/>
      <sheetName val="Case 2 SCR"/>
      <sheetName val="VOM Base case"/>
      <sheetName val="VOM Case 1"/>
      <sheetName val="VOM Case 2"/>
      <sheetName val="O&amp;M Crist 7 Year Round"/>
      <sheetName val="O&amp;M Crist 6 Year Round"/>
      <sheetName val="O&amp;M Capacity Factor"/>
      <sheetName val="O&amp;M Catalyst Mgt Plan"/>
      <sheetName val="1-3 com 311"/>
      <sheetName val="1-3 com 312"/>
      <sheetName val="1-3 com 314"/>
      <sheetName val="1-3 com 315"/>
      <sheetName val="1-3 com summary"/>
      <sheetName val="AFUDC Crist 6 SNCR"/>
      <sheetName val="AFUDC Cr6 SCR"/>
      <sheetName val="AFUDC Cr7 SCR"/>
      <sheetName val="AFUDC Crist Precipitator"/>
      <sheetName val="AFUDC Summary of Projects"/>
      <sheetName val="Capital Spen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39 Crist6 scrub 1"/>
      <sheetName val="1199 Item 1 Crist 7 Precip"/>
      <sheetName val="1199 Item 2 Crist 7 SCR"/>
      <sheetName val="NOTES"/>
      <sheetName val="AFUDC Exp"/>
      <sheetName val="AFUDC CWIP"/>
      <sheetName val="1222 SCRUBBER"/>
      <sheetName val="1222 Tractor Garage"/>
      <sheetName val="1222 Bld Scrubber Sub"/>
      <sheetName val="1222 LP Turbine"/>
      <sheetName val="1279"/>
      <sheetName val="1727"/>
      <sheetName val="1728"/>
      <sheetName val="1729"/>
      <sheetName val="AFC DEBT_CWIP"/>
      <sheetName val="Summary"/>
      <sheetName val="1287 Item 1 - 6 Low Nox Burner"/>
      <sheetName val="1287 Item 3 - 6 SNCR"/>
      <sheetName val="1222 Transmission line Relo"/>
      <sheetName val="1222 Crist 7 Cooling Tower Relo"/>
      <sheetName val="1287 Item 4 - 5 SNCR"/>
      <sheetName val="1287 Item 5 - 4 SNCR"/>
      <sheetName val="1298"/>
      <sheetName val="1038"/>
      <sheetName val="1443"/>
      <sheetName val="1461 Sm 1 Prec"/>
      <sheetName val="1462 Sm 2 Prec"/>
      <sheetName val="1458"/>
      <sheetName val="1548"/>
      <sheetName val="1550"/>
      <sheetName val="1551"/>
      <sheetName val="1675"/>
      <sheetName val="2814"/>
      <sheetName val="3753"/>
      <sheetName val="1222"/>
      <sheetName val="-"/>
      <sheetName val="2879 Holmes Creek 1"/>
      <sheetName val="2888 Holley Auto 1"/>
      <sheetName val="2888 Holley Auto 2"/>
      <sheetName val="Bl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>
            <v>7.6499999999999999E-2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26"/>
  <sheetViews>
    <sheetView tabSelected="1" view="pageLayout" topLeftCell="A55" zoomScaleNormal="100" zoomScaleSheetLayoutView="80" workbookViewId="0">
      <selection activeCell="A71" sqref="A71:A74"/>
    </sheetView>
  </sheetViews>
  <sheetFormatPr defaultRowHeight="12.75" outlineLevelCol="1"/>
  <cols>
    <col min="1" max="1" width="45.28515625" style="1" customWidth="1"/>
    <col min="2" max="2" width="21.140625" style="1" customWidth="1"/>
    <col min="3" max="6" width="12.7109375" style="1" customWidth="1" outlineLevel="1"/>
    <col min="7" max="7" width="13.28515625" style="1" bestFit="1" customWidth="1" outlineLevel="1"/>
    <col min="8" max="8" width="13.42578125" style="1" bestFit="1" customWidth="1" outlineLevel="1"/>
    <col min="9" max="9" width="13.28515625" style="1" bestFit="1" customWidth="1" outlineLevel="1"/>
    <col min="10" max="10" width="12.7109375" style="1" customWidth="1" outlineLevel="1"/>
    <col min="11" max="11" width="13.28515625" style="1" bestFit="1" customWidth="1" outlineLevel="1"/>
    <col min="12" max="13" width="12.7109375" style="1" customWidth="1" outlineLevel="1"/>
    <col min="14" max="14" width="13.28515625" style="1" bestFit="1" customWidth="1" outlineLevel="1"/>
    <col min="15" max="15" width="12.7109375" style="1" customWidth="1"/>
    <col min="16" max="27" width="15.140625" style="1" bestFit="1" customWidth="1" outlineLevel="1"/>
    <col min="28" max="28" width="13.28515625" style="1" bestFit="1" customWidth="1"/>
    <col min="29" max="16384" width="9.140625" style="1"/>
  </cols>
  <sheetData>
    <row r="1" spans="1:28">
      <c r="A1" s="35" t="s">
        <v>91</v>
      </c>
    </row>
    <row r="2" spans="1:28">
      <c r="A2" s="35" t="s">
        <v>104</v>
      </c>
    </row>
    <row r="3" spans="1:28">
      <c r="A3" s="35" t="s">
        <v>71</v>
      </c>
    </row>
    <row r="5" spans="1:28">
      <c r="B5" s="36" t="s">
        <v>88</v>
      </c>
      <c r="C5" s="36"/>
      <c r="D5" s="36"/>
      <c r="E5" s="36"/>
      <c r="F5" s="36"/>
      <c r="O5" s="36" t="s">
        <v>89</v>
      </c>
      <c r="AB5" s="36" t="s">
        <v>89</v>
      </c>
    </row>
    <row r="6" spans="1:28">
      <c r="B6" s="37">
        <v>40513</v>
      </c>
      <c r="C6" s="37">
        <f>B6+45</f>
        <v>40558</v>
      </c>
      <c r="D6" s="37">
        <f>C6+30</f>
        <v>40588</v>
      </c>
      <c r="E6" s="37">
        <f t="shared" ref="E6:AA6" si="0">D6+30</f>
        <v>40618</v>
      </c>
      <c r="F6" s="37">
        <f t="shared" si="0"/>
        <v>40648</v>
      </c>
      <c r="G6" s="37">
        <f t="shared" si="0"/>
        <v>40678</v>
      </c>
      <c r="H6" s="37">
        <f t="shared" si="0"/>
        <v>40708</v>
      </c>
      <c r="I6" s="37">
        <f t="shared" si="0"/>
        <v>40738</v>
      </c>
      <c r="J6" s="37">
        <f t="shared" si="0"/>
        <v>40768</v>
      </c>
      <c r="K6" s="37">
        <f t="shared" si="0"/>
        <v>40798</v>
      </c>
      <c r="L6" s="37">
        <f t="shared" si="0"/>
        <v>40828</v>
      </c>
      <c r="M6" s="37">
        <f t="shared" si="0"/>
        <v>40858</v>
      </c>
      <c r="N6" s="37">
        <f t="shared" si="0"/>
        <v>40888</v>
      </c>
      <c r="O6" s="37">
        <v>40878</v>
      </c>
      <c r="P6" s="37">
        <f>N6+30</f>
        <v>40918</v>
      </c>
      <c r="Q6" s="37">
        <f t="shared" si="0"/>
        <v>40948</v>
      </c>
      <c r="R6" s="37">
        <f t="shared" si="0"/>
        <v>40978</v>
      </c>
      <c r="S6" s="37">
        <f t="shared" si="0"/>
        <v>41008</v>
      </c>
      <c r="T6" s="37">
        <f t="shared" si="0"/>
        <v>41038</v>
      </c>
      <c r="U6" s="37">
        <f t="shared" si="0"/>
        <v>41068</v>
      </c>
      <c r="V6" s="37">
        <f t="shared" si="0"/>
        <v>41098</v>
      </c>
      <c r="W6" s="37">
        <f t="shared" si="0"/>
        <v>41128</v>
      </c>
      <c r="X6" s="37">
        <f t="shared" si="0"/>
        <v>41158</v>
      </c>
      <c r="Y6" s="37">
        <f t="shared" si="0"/>
        <v>41188</v>
      </c>
      <c r="Z6" s="37">
        <f t="shared" si="0"/>
        <v>41218</v>
      </c>
      <c r="AA6" s="37">
        <f t="shared" si="0"/>
        <v>41248</v>
      </c>
      <c r="AB6" s="37">
        <v>41244</v>
      </c>
    </row>
    <row r="7" spans="1:28">
      <c r="A7" s="1" t="s">
        <v>81</v>
      </c>
      <c r="B7" s="38">
        <f>'2010-2012 Reg Asset Proj (2)'!C9</f>
        <v>6411886</v>
      </c>
      <c r="C7" s="38">
        <f>B7+'2010-2012 Reg Asset Proj (2)'!D9</f>
        <v>6708886</v>
      </c>
      <c r="D7" s="38">
        <f>C7+'2010-2012 Reg Asset Proj (2)'!E9</f>
        <v>15235286</v>
      </c>
      <c r="E7" s="38">
        <f>D7+'2010-2012 Reg Asset Proj (2)'!F9</f>
        <v>16985286</v>
      </c>
      <c r="F7" s="38">
        <f>E7+'2010-2012 Reg Asset Proj (2)'!G9</f>
        <v>17165286</v>
      </c>
      <c r="G7" s="38">
        <f>F7+'2010-2012 Reg Asset Proj (2)'!H9</f>
        <v>17165286</v>
      </c>
      <c r="H7" s="38">
        <f>G7+'2010-2012 Reg Asset Proj (2)'!I9</f>
        <v>17165286</v>
      </c>
      <c r="I7" s="38">
        <f>H7+'2010-2012 Reg Asset Proj (2)'!J9</f>
        <v>17165286</v>
      </c>
      <c r="J7" s="38">
        <f>I7+'2010-2012 Reg Asset Proj (2)'!K9</f>
        <v>17165286</v>
      </c>
      <c r="K7" s="38">
        <f>J7+'2010-2012 Reg Asset Proj (2)'!L9</f>
        <v>17165286</v>
      </c>
      <c r="L7" s="38">
        <f>K7+'2010-2012 Reg Asset Proj (2)'!M9</f>
        <v>18140286</v>
      </c>
      <c r="M7" s="38">
        <f>L7+'2010-2012 Reg Asset Proj (2)'!N9</f>
        <v>18140286</v>
      </c>
      <c r="N7" s="38">
        <f>M7+'2010-2012 Reg Asset Proj (2)'!O9</f>
        <v>18140286</v>
      </c>
      <c r="O7" s="18">
        <f>AVERAGE(B7:N7)</f>
        <v>15596455.23076923</v>
      </c>
      <c r="P7" s="18">
        <f>N7+'2010-2012 Reg Asset Proj (2)'!Q9</f>
        <v>18140286</v>
      </c>
      <c r="Q7" s="18">
        <f>P7+'2010-2012 Reg Asset Proj (2)'!R9</f>
        <v>18140286</v>
      </c>
      <c r="R7" s="18">
        <f>Q7+'2010-2012 Reg Asset Proj (2)'!S9</f>
        <v>18140286</v>
      </c>
      <c r="S7" s="18">
        <f>R7+'2010-2012 Reg Asset Proj (2)'!T9</f>
        <v>18140286</v>
      </c>
      <c r="T7" s="18">
        <f>S7+'2010-2012 Reg Asset Proj (2)'!U9</f>
        <v>18140286</v>
      </c>
      <c r="U7" s="18">
        <f>T7+'2010-2012 Reg Asset Proj (2)'!V9</f>
        <v>18140286</v>
      </c>
      <c r="V7" s="18">
        <f>U7+'2010-2012 Reg Asset Proj (2)'!W9</f>
        <v>18140286</v>
      </c>
      <c r="W7" s="18">
        <f>V7+'2010-2012 Reg Asset Proj (2)'!X9</f>
        <v>18140286</v>
      </c>
      <c r="X7" s="18">
        <f>W7+'2010-2012 Reg Asset Proj (2)'!Y9</f>
        <v>18140286</v>
      </c>
      <c r="Y7" s="18">
        <f>X7+'2010-2012 Reg Asset Proj (2)'!Z9</f>
        <v>18140286</v>
      </c>
      <c r="Z7" s="18">
        <f>Y7+'2010-2012 Reg Asset Proj (2)'!AA9</f>
        <v>18140286</v>
      </c>
      <c r="AA7" s="18">
        <f>Z7+'2010-2012 Reg Asset Proj (2)'!AB9</f>
        <v>18140286</v>
      </c>
      <c r="AB7" s="18">
        <f>AVERAGE(N7,P7:AA7)</f>
        <v>18140286</v>
      </c>
    </row>
    <row r="8" spans="1:28">
      <c r="A8" s="1" t="s">
        <v>82</v>
      </c>
      <c r="B8" s="39">
        <f>SUM('2010-2012 Reg Asset Proj (2)'!C10:C15)</f>
        <v>568840.1399999999</v>
      </c>
      <c r="C8" s="39">
        <f>C9-C7</f>
        <v>687379.57299999986</v>
      </c>
      <c r="D8" s="39">
        <f t="shared" ref="D8:AA8" si="1">D9-D7</f>
        <v>706534.77299999818</v>
      </c>
      <c r="E8" s="39">
        <f t="shared" si="1"/>
        <v>732689.97299999744</v>
      </c>
      <c r="F8" s="39">
        <f t="shared" si="1"/>
        <v>751845.17299999669</v>
      </c>
      <c r="G8" s="39">
        <f t="shared" si="1"/>
        <v>753925.17299999669</v>
      </c>
      <c r="H8" s="39">
        <f t="shared" si="1"/>
        <v>756005.17299999669</v>
      </c>
      <c r="I8" s="39">
        <f t="shared" si="1"/>
        <v>758085.17299999669</v>
      </c>
      <c r="J8" s="39">
        <f t="shared" si="1"/>
        <v>760165.17299999669</v>
      </c>
      <c r="K8" s="39">
        <f t="shared" si="1"/>
        <v>762245.17299999669</v>
      </c>
      <c r="L8" s="39">
        <f t="shared" si="1"/>
        <v>774325.17299999669</v>
      </c>
      <c r="M8" s="39">
        <f t="shared" si="1"/>
        <v>776405.17299999669</v>
      </c>
      <c r="N8" s="39">
        <f t="shared" si="1"/>
        <v>778485.17299999669</v>
      </c>
      <c r="O8" s="40">
        <f>AVERAGE(B8:N8)</f>
        <v>735917.77046153578</v>
      </c>
      <c r="P8" s="39">
        <f t="shared" si="1"/>
        <v>778485.17299999669</v>
      </c>
      <c r="Q8" s="39">
        <f t="shared" si="1"/>
        <v>778485.17299999669</v>
      </c>
      <c r="R8" s="39">
        <f t="shared" si="1"/>
        <v>778485.17299999669</v>
      </c>
      <c r="S8" s="39">
        <f t="shared" si="1"/>
        <v>778485.17299999669</v>
      </c>
      <c r="T8" s="39">
        <f t="shared" si="1"/>
        <v>778485.17299999669</v>
      </c>
      <c r="U8" s="39">
        <f t="shared" si="1"/>
        <v>778485.17299999669</v>
      </c>
      <c r="V8" s="39">
        <f t="shared" si="1"/>
        <v>778485.17299999669</v>
      </c>
      <c r="W8" s="39">
        <f t="shared" si="1"/>
        <v>778485.17299999669</v>
      </c>
      <c r="X8" s="39">
        <f t="shared" si="1"/>
        <v>778485.17299999669</v>
      </c>
      <c r="Y8" s="39">
        <f t="shared" si="1"/>
        <v>778485.17299999669</v>
      </c>
      <c r="Z8" s="39">
        <f t="shared" si="1"/>
        <v>778485.17299999669</v>
      </c>
      <c r="AA8" s="39">
        <f t="shared" si="1"/>
        <v>778485.17299999669</v>
      </c>
      <c r="AB8" s="40">
        <f>AVERAGE(N8,P8:AA8)</f>
        <v>778485.17299999669</v>
      </c>
    </row>
    <row r="9" spans="1:28">
      <c r="A9" s="1" t="s">
        <v>83</v>
      </c>
      <c r="B9" s="38">
        <f>B7+B8</f>
        <v>6980726.1399999997</v>
      </c>
      <c r="C9" s="38">
        <f>B9+'2010-2012 Reg Asset Proj (2)'!D16</f>
        <v>7396265.5729999999</v>
      </c>
      <c r="D9" s="38">
        <f>C9+'2010-2012 Reg Asset Proj (2)'!E16</f>
        <v>15941820.772999998</v>
      </c>
      <c r="E9" s="38">
        <f>D9+'2010-2012 Reg Asset Proj (2)'!F16</f>
        <v>17717975.972999997</v>
      </c>
      <c r="F9" s="38">
        <f>E9+'2010-2012 Reg Asset Proj (2)'!G16</f>
        <v>17917131.172999997</v>
      </c>
      <c r="G9" s="38">
        <f>F9+'2010-2012 Reg Asset Proj (2)'!H16</f>
        <v>17919211.172999997</v>
      </c>
      <c r="H9" s="38">
        <f>G9+'2010-2012 Reg Asset Proj (2)'!I16</f>
        <v>17921291.172999997</v>
      </c>
      <c r="I9" s="38">
        <f>H9+'2010-2012 Reg Asset Proj (2)'!J16</f>
        <v>17923371.172999997</v>
      </c>
      <c r="J9" s="38">
        <f>I9+'2010-2012 Reg Asset Proj (2)'!K16</f>
        <v>17925451.172999997</v>
      </c>
      <c r="K9" s="38">
        <f>J9+'2010-2012 Reg Asset Proj (2)'!L16</f>
        <v>17927531.172999997</v>
      </c>
      <c r="L9" s="38">
        <f>K9+'2010-2012 Reg Asset Proj (2)'!M16</f>
        <v>18914611.172999997</v>
      </c>
      <c r="M9" s="38">
        <f>L9+'2010-2012 Reg Asset Proj (2)'!N16</f>
        <v>18916691.172999997</v>
      </c>
      <c r="N9" s="38">
        <f>M9+'2010-2012 Reg Asset Proj (2)'!O16</f>
        <v>18918771.172999997</v>
      </c>
      <c r="O9" s="18">
        <f>AVERAGE(B9:N9)</f>
        <v>16332373.001230769</v>
      </c>
      <c r="P9" s="18">
        <f>N9+'2010-2012 Reg Asset Proj (2)'!Q16</f>
        <v>18918771.172999997</v>
      </c>
      <c r="Q9" s="18">
        <f>P9+'2010-2012 Reg Asset Proj (2)'!R16</f>
        <v>18918771.172999997</v>
      </c>
      <c r="R9" s="18">
        <f>Q9+'2010-2012 Reg Asset Proj (2)'!S16</f>
        <v>18918771.172999997</v>
      </c>
      <c r="S9" s="18">
        <f>R9+'2010-2012 Reg Asset Proj (2)'!T16</f>
        <v>18918771.172999997</v>
      </c>
      <c r="T9" s="18">
        <f>S9+'2010-2012 Reg Asset Proj (2)'!U16</f>
        <v>18918771.172999997</v>
      </c>
      <c r="U9" s="18">
        <f>T9+'2010-2012 Reg Asset Proj (2)'!V16</f>
        <v>18918771.172999997</v>
      </c>
      <c r="V9" s="18">
        <f>U9+'2010-2012 Reg Asset Proj (2)'!W16</f>
        <v>18918771.172999997</v>
      </c>
      <c r="W9" s="18">
        <f>V9+'2010-2012 Reg Asset Proj (2)'!X16</f>
        <v>18918771.172999997</v>
      </c>
      <c r="X9" s="18">
        <f>W9+'2010-2012 Reg Asset Proj (2)'!Y16</f>
        <v>18918771.172999997</v>
      </c>
      <c r="Y9" s="18">
        <f>X9+'2010-2012 Reg Asset Proj (2)'!Z16</f>
        <v>18918771.172999997</v>
      </c>
      <c r="Z9" s="18">
        <f>Y9+'2010-2012 Reg Asset Proj (2)'!AA16</f>
        <v>18918771.172999997</v>
      </c>
      <c r="AA9" s="18">
        <f>Z9+'2010-2012 Reg Asset Proj (2)'!AB16</f>
        <v>18918771.172999997</v>
      </c>
      <c r="AB9" s="18">
        <f>AVERAGE(N9,P9:AA9)</f>
        <v>18918771.173</v>
      </c>
    </row>
    <row r="10" spans="1:28">
      <c r="B10" s="38"/>
      <c r="C10" s="38"/>
      <c r="D10" s="38"/>
      <c r="E10" s="38"/>
      <c r="F10" s="38"/>
      <c r="G10" s="38"/>
    </row>
    <row r="11" spans="1:28">
      <c r="A11" s="1" t="s">
        <v>4</v>
      </c>
      <c r="B11" s="38">
        <f>'2010-2012 Reg Asset Proj (2)'!C33</f>
        <v>3362271.98</v>
      </c>
      <c r="C11" s="38">
        <f>B11+'2010-2012 Reg Asset Proj (2)'!D33</f>
        <v>3458438.6466666665</v>
      </c>
      <c r="D11" s="38">
        <f>C11+'2010-2012 Reg Asset Proj (2)'!E33</f>
        <v>3554605.313333333</v>
      </c>
      <c r="E11" s="38">
        <f>D11+'2010-2012 Reg Asset Proj (2)'!F33</f>
        <v>3652271.9799999995</v>
      </c>
      <c r="F11" s="38">
        <f>E11+'2010-2012 Reg Asset Proj (2)'!G33</f>
        <v>3657271.9799999995</v>
      </c>
      <c r="G11" s="38">
        <f>F11+'2010-2012 Reg Asset Proj (2)'!H33</f>
        <v>3661771.9799999995</v>
      </c>
      <c r="H11" s="38">
        <f>G11+'2010-2012 Reg Asset Proj (2)'!I33</f>
        <v>3667771.9799999995</v>
      </c>
      <c r="I11" s="38">
        <f>H11+'2010-2012 Reg Asset Proj (2)'!J33</f>
        <v>3722271.9799999995</v>
      </c>
      <c r="J11" s="38">
        <f>I11+'2010-2012 Reg Asset Proj (2)'!K33</f>
        <v>3926771.9799999995</v>
      </c>
      <c r="K11" s="38">
        <f>J11+'2010-2012 Reg Asset Proj (2)'!L33</f>
        <v>4083271.9799999995</v>
      </c>
      <c r="L11" s="38">
        <f>K11+'2010-2012 Reg Asset Proj (2)'!M33</f>
        <v>4237771.9799999995</v>
      </c>
      <c r="M11" s="38">
        <f>L11+'2010-2012 Reg Asset Proj (2)'!N33</f>
        <v>4392271.9799999995</v>
      </c>
      <c r="N11" s="38">
        <f>M11+'2010-2012 Reg Asset Proj (2)'!O33</f>
        <v>4548771.9799999995</v>
      </c>
      <c r="O11" s="18">
        <f>AVERAGE(B11:N11)</f>
        <v>3840425.8261538451</v>
      </c>
      <c r="P11" s="18">
        <f>N11+'2010-2012 Reg Asset Proj (2)'!Q33</f>
        <v>4548771.9799999995</v>
      </c>
      <c r="Q11" s="18">
        <f>P11+'2010-2012 Reg Asset Proj (2)'!R33</f>
        <v>4548771.9799999995</v>
      </c>
      <c r="R11" s="18">
        <f>Q11+'2010-2012 Reg Asset Proj (2)'!S33</f>
        <v>4548771.9799999995</v>
      </c>
      <c r="S11" s="18">
        <f>R11+'2010-2012 Reg Asset Proj (2)'!T33</f>
        <v>4548771.9799999995</v>
      </c>
      <c r="T11" s="18">
        <f>S11+'2010-2012 Reg Asset Proj (2)'!U33</f>
        <v>4548771.9799999995</v>
      </c>
      <c r="U11" s="18">
        <f>T11+'2010-2012 Reg Asset Proj (2)'!V33</f>
        <v>4548771.9799999995</v>
      </c>
      <c r="V11" s="18">
        <f>U11+'2010-2012 Reg Asset Proj (2)'!W33</f>
        <v>4548771.9799999995</v>
      </c>
      <c r="W11" s="18">
        <f>V11+'2010-2012 Reg Asset Proj (2)'!X33</f>
        <v>4548771.9799999995</v>
      </c>
      <c r="X11" s="18">
        <f>W11+'2010-2012 Reg Asset Proj (2)'!Y33</f>
        <v>4548771.9799999995</v>
      </c>
      <c r="Y11" s="18">
        <f>X11+'2010-2012 Reg Asset Proj (2)'!Z33</f>
        <v>4548771.9799999995</v>
      </c>
      <c r="Z11" s="18">
        <f>Y11+'2010-2012 Reg Asset Proj (2)'!AA33</f>
        <v>4548771.9799999995</v>
      </c>
      <c r="AA11" s="18">
        <f>Z11+'2010-2012 Reg Asset Proj (2)'!AB33</f>
        <v>4548771.9799999995</v>
      </c>
      <c r="AB11" s="18">
        <f>AVERAGE(N11,P11:AA11)</f>
        <v>4548771.9799999986</v>
      </c>
    </row>
    <row r="12" spans="1:28">
      <c r="B12" s="38"/>
      <c r="C12" s="38"/>
      <c r="D12" s="38"/>
      <c r="E12" s="38"/>
      <c r="F12" s="38"/>
      <c r="G12" s="38"/>
    </row>
    <row r="13" spans="1:28">
      <c r="A13" s="1" t="s">
        <v>84</v>
      </c>
      <c r="B13" s="38">
        <f>'2010-2012 Reg Asset Proj (2)'!C36</f>
        <v>187237.89</v>
      </c>
      <c r="C13" s="38">
        <f>B13</f>
        <v>187237.89</v>
      </c>
      <c r="D13" s="38">
        <f t="shared" ref="D13:AA13" si="2">C13</f>
        <v>187237.89</v>
      </c>
      <c r="E13" s="38">
        <f t="shared" si="2"/>
        <v>187237.89</v>
      </c>
      <c r="F13" s="38">
        <f t="shared" si="2"/>
        <v>187237.89</v>
      </c>
      <c r="G13" s="38">
        <f t="shared" si="2"/>
        <v>187237.89</v>
      </c>
      <c r="H13" s="38">
        <f t="shared" si="2"/>
        <v>187237.89</v>
      </c>
      <c r="I13" s="38">
        <f t="shared" si="2"/>
        <v>187237.89</v>
      </c>
      <c r="J13" s="38">
        <f t="shared" si="2"/>
        <v>187237.89</v>
      </c>
      <c r="K13" s="38">
        <f t="shared" si="2"/>
        <v>187237.89</v>
      </c>
      <c r="L13" s="38">
        <f t="shared" si="2"/>
        <v>187237.89</v>
      </c>
      <c r="M13" s="38">
        <f t="shared" si="2"/>
        <v>187237.89</v>
      </c>
      <c r="N13" s="38">
        <f t="shared" si="2"/>
        <v>187237.89</v>
      </c>
      <c r="O13" s="18">
        <f>AVERAGE(B13:N13)</f>
        <v>187237.89000000007</v>
      </c>
      <c r="P13" s="38">
        <f t="shared" si="2"/>
        <v>187237.89000000007</v>
      </c>
      <c r="Q13" s="38">
        <f t="shared" si="2"/>
        <v>187237.89000000007</v>
      </c>
      <c r="R13" s="38">
        <f t="shared" si="2"/>
        <v>187237.89000000007</v>
      </c>
      <c r="S13" s="38">
        <f t="shared" si="2"/>
        <v>187237.89000000007</v>
      </c>
      <c r="T13" s="38">
        <f t="shared" si="2"/>
        <v>187237.89000000007</v>
      </c>
      <c r="U13" s="38">
        <f t="shared" si="2"/>
        <v>187237.89000000007</v>
      </c>
      <c r="V13" s="38">
        <f t="shared" si="2"/>
        <v>187237.89000000007</v>
      </c>
      <c r="W13" s="38">
        <f t="shared" si="2"/>
        <v>187237.89000000007</v>
      </c>
      <c r="X13" s="38">
        <f t="shared" si="2"/>
        <v>187237.89000000007</v>
      </c>
      <c r="Y13" s="38">
        <f t="shared" si="2"/>
        <v>187237.89000000007</v>
      </c>
      <c r="Z13" s="38">
        <f t="shared" si="2"/>
        <v>187237.89000000007</v>
      </c>
      <c r="AA13" s="38">
        <f t="shared" si="2"/>
        <v>187237.89000000007</v>
      </c>
      <c r="AB13" s="18">
        <f>AVERAGE(N13,P13:AA13)</f>
        <v>187237.8900000001</v>
      </c>
    </row>
    <row r="14" spans="1:28">
      <c r="B14" s="38"/>
      <c r="C14" s="38"/>
      <c r="D14" s="38"/>
      <c r="E14" s="38"/>
      <c r="F14" s="38"/>
      <c r="G14" s="38"/>
    </row>
    <row r="15" spans="1:28">
      <c r="A15" s="1" t="s">
        <v>6</v>
      </c>
      <c r="B15" s="38">
        <f>'2010-2012 Reg Asset Proj (2)'!C46</f>
        <v>650741.82999999996</v>
      </c>
      <c r="C15" s="38">
        <f>B15+'2010-2012 Reg Asset Proj (2)'!D46</f>
        <v>650741.82999999996</v>
      </c>
      <c r="D15" s="38">
        <f>C15+'2010-2012 Reg Asset Proj (2)'!E46</f>
        <v>650741.82999999996</v>
      </c>
      <c r="E15" s="38">
        <f>D15+'2010-2012 Reg Asset Proj (2)'!F46</f>
        <v>650741.82999999996</v>
      </c>
      <c r="F15" s="38">
        <f>E15+'2010-2012 Reg Asset Proj (2)'!G46</f>
        <v>650741.82999999996</v>
      </c>
      <c r="G15" s="38">
        <f>F15+'2010-2012 Reg Asset Proj (2)'!H46</f>
        <v>650741.82999999996</v>
      </c>
      <c r="H15" s="38">
        <f>G15+'2010-2012 Reg Asset Proj (2)'!I46</f>
        <v>650741.82999999996</v>
      </c>
      <c r="I15" s="38">
        <f>H15+'2010-2012 Reg Asset Proj (2)'!J46</f>
        <v>650741.82999999996</v>
      </c>
      <c r="J15" s="38">
        <f>I15+'2010-2012 Reg Asset Proj (2)'!K46</f>
        <v>650741.82999999996</v>
      </c>
      <c r="K15" s="38">
        <f>J15+'2010-2012 Reg Asset Proj (2)'!L46</f>
        <v>650741.82999999996</v>
      </c>
      <c r="L15" s="38">
        <f>K15+'2010-2012 Reg Asset Proj (2)'!M46</f>
        <v>650741.82999999996</v>
      </c>
      <c r="M15" s="38">
        <f>L15+'2010-2012 Reg Asset Proj (2)'!N46</f>
        <v>650741.82999999996</v>
      </c>
      <c r="N15" s="38">
        <f>M15+'2010-2012 Reg Asset Proj (2)'!O46</f>
        <v>650741.82999999996</v>
      </c>
      <c r="O15" s="18">
        <f>AVERAGE(B15:N15)</f>
        <v>650741.82999999996</v>
      </c>
      <c r="P15" s="38">
        <f>N15</f>
        <v>650741.82999999996</v>
      </c>
      <c r="Q15" s="38">
        <f t="shared" ref="Q15:AA15" si="3">P15</f>
        <v>650741.82999999996</v>
      </c>
      <c r="R15" s="38">
        <f t="shared" si="3"/>
        <v>650741.82999999996</v>
      </c>
      <c r="S15" s="38">
        <f t="shared" si="3"/>
        <v>650741.82999999996</v>
      </c>
      <c r="T15" s="38">
        <f t="shared" si="3"/>
        <v>650741.82999999996</v>
      </c>
      <c r="U15" s="38">
        <f t="shared" si="3"/>
        <v>650741.82999999996</v>
      </c>
      <c r="V15" s="38">
        <f t="shared" si="3"/>
        <v>650741.82999999996</v>
      </c>
      <c r="W15" s="38">
        <f t="shared" si="3"/>
        <v>650741.82999999996</v>
      </c>
      <c r="X15" s="38">
        <f t="shared" si="3"/>
        <v>650741.82999999996</v>
      </c>
      <c r="Y15" s="38">
        <f t="shared" si="3"/>
        <v>650741.82999999996</v>
      </c>
      <c r="Z15" s="38">
        <f t="shared" si="3"/>
        <v>650741.82999999996</v>
      </c>
      <c r="AA15" s="38">
        <f t="shared" si="3"/>
        <v>650741.82999999996</v>
      </c>
      <c r="AB15" s="18">
        <f>AVERAGE(N15,P15:AA15)</f>
        <v>650741.82999999996</v>
      </c>
    </row>
    <row r="16" spans="1:28">
      <c r="B16" s="38"/>
      <c r="C16" s="38"/>
      <c r="D16" s="38"/>
      <c r="E16" s="38"/>
      <c r="F16" s="38"/>
      <c r="G16" s="38"/>
    </row>
    <row r="17" spans="1:28">
      <c r="A17" s="1" t="s">
        <v>85</v>
      </c>
      <c r="B17" s="38">
        <v>33620</v>
      </c>
      <c r="C17" s="38">
        <f t="shared" ref="C17:N17" si="4">B17</f>
        <v>33620</v>
      </c>
      <c r="D17" s="38">
        <f t="shared" si="4"/>
        <v>33620</v>
      </c>
      <c r="E17" s="38">
        <f t="shared" si="4"/>
        <v>33620</v>
      </c>
      <c r="F17" s="38">
        <f t="shared" si="4"/>
        <v>33620</v>
      </c>
      <c r="G17" s="38">
        <f t="shared" si="4"/>
        <v>33620</v>
      </c>
      <c r="H17" s="38">
        <f t="shared" si="4"/>
        <v>33620</v>
      </c>
      <c r="I17" s="38">
        <f t="shared" si="4"/>
        <v>33620</v>
      </c>
      <c r="J17" s="38">
        <f t="shared" si="4"/>
        <v>33620</v>
      </c>
      <c r="K17" s="38">
        <f t="shared" si="4"/>
        <v>33620</v>
      </c>
      <c r="L17" s="38">
        <f t="shared" si="4"/>
        <v>33620</v>
      </c>
      <c r="M17" s="38">
        <f t="shared" si="4"/>
        <v>33620</v>
      </c>
      <c r="N17" s="38">
        <f t="shared" si="4"/>
        <v>33620</v>
      </c>
      <c r="O17" s="18">
        <f>AVERAGE(B17:N17)</f>
        <v>33620</v>
      </c>
      <c r="P17" s="38">
        <f t="shared" ref="P17:AA17" si="5">O17</f>
        <v>33620</v>
      </c>
      <c r="Q17" s="38">
        <f t="shared" si="5"/>
        <v>33620</v>
      </c>
      <c r="R17" s="38">
        <f t="shared" si="5"/>
        <v>33620</v>
      </c>
      <c r="S17" s="38">
        <f t="shared" si="5"/>
        <v>33620</v>
      </c>
      <c r="T17" s="38">
        <f t="shared" si="5"/>
        <v>33620</v>
      </c>
      <c r="U17" s="38">
        <f t="shared" si="5"/>
        <v>33620</v>
      </c>
      <c r="V17" s="38">
        <f t="shared" si="5"/>
        <v>33620</v>
      </c>
      <c r="W17" s="38">
        <f t="shared" si="5"/>
        <v>33620</v>
      </c>
      <c r="X17" s="38">
        <f t="shared" si="5"/>
        <v>33620</v>
      </c>
      <c r="Y17" s="38">
        <f t="shared" si="5"/>
        <v>33620</v>
      </c>
      <c r="Z17" s="38">
        <f t="shared" si="5"/>
        <v>33620</v>
      </c>
      <c r="AA17" s="38">
        <f t="shared" si="5"/>
        <v>33620</v>
      </c>
      <c r="AB17" s="18">
        <f>AVERAGE(N17,P17:AA17)</f>
        <v>33620</v>
      </c>
    </row>
    <row r="18" spans="1:28">
      <c r="B18" s="38"/>
      <c r="C18" s="38"/>
      <c r="D18" s="38"/>
      <c r="E18" s="38"/>
      <c r="F18" s="38"/>
      <c r="G18" s="38"/>
    </row>
    <row r="19" spans="1:28">
      <c r="A19" s="1" t="s">
        <v>68</v>
      </c>
      <c r="B19" s="38">
        <f>'2010-2012 Reg Asset Proj (2)'!C55</f>
        <v>370459.85000000003</v>
      </c>
      <c r="C19" s="38">
        <f t="shared" ref="C19:N19" si="6">B19</f>
        <v>370459.85000000003</v>
      </c>
      <c r="D19" s="38">
        <f t="shared" si="6"/>
        <v>370459.85000000003</v>
      </c>
      <c r="E19" s="38">
        <f t="shared" si="6"/>
        <v>370459.85000000003</v>
      </c>
      <c r="F19" s="38">
        <f t="shared" si="6"/>
        <v>370459.85000000003</v>
      </c>
      <c r="G19" s="38">
        <f t="shared" si="6"/>
        <v>370459.85000000003</v>
      </c>
      <c r="H19" s="38">
        <f t="shared" si="6"/>
        <v>370459.85000000003</v>
      </c>
      <c r="I19" s="38">
        <f t="shared" si="6"/>
        <v>370459.85000000003</v>
      </c>
      <c r="J19" s="38">
        <f t="shared" si="6"/>
        <v>370459.85000000003</v>
      </c>
      <c r="K19" s="38">
        <f t="shared" si="6"/>
        <v>370459.85000000003</v>
      </c>
      <c r="L19" s="38">
        <f t="shared" si="6"/>
        <v>370459.85000000003</v>
      </c>
      <c r="M19" s="38">
        <f t="shared" si="6"/>
        <v>370459.85000000003</v>
      </c>
      <c r="N19" s="38">
        <f t="shared" si="6"/>
        <v>370459.85000000003</v>
      </c>
      <c r="O19" s="18">
        <f>AVERAGE(B19:N19)</f>
        <v>370459.85</v>
      </c>
      <c r="P19" s="38">
        <f t="shared" ref="P19:AA19" si="7">O19</f>
        <v>370459.85</v>
      </c>
      <c r="Q19" s="38">
        <f t="shared" si="7"/>
        <v>370459.85</v>
      </c>
      <c r="R19" s="38">
        <f t="shared" si="7"/>
        <v>370459.85</v>
      </c>
      <c r="S19" s="38">
        <f t="shared" si="7"/>
        <v>370459.85</v>
      </c>
      <c r="T19" s="38">
        <f t="shared" si="7"/>
        <v>370459.85</v>
      </c>
      <c r="U19" s="38">
        <f t="shared" si="7"/>
        <v>370459.85</v>
      </c>
      <c r="V19" s="38">
        <f t="shared" si="7"/>
        <v>370459.85</v>
      </c>
      <c r="W19" s="38">
        <f t="shared" si="7"/>
        <v>370459.85</v>
      </c>
      <c r="X19" s="38">
        <f t="shared" si="7"/>
        <v>370459.85</v>
      </c>
      <c r="Y19" s="38">
        <f t="shared" si="7"/>
        <v>370459.85</v>
      </c>
      <c r="Z19" s="38">
        <f t="shared" si="7"/>
        <v>370459.85</v>
      </c>
      <c r="AA19" s="38">
        <f t="shared" si="7"/>
        <v>370459.85</v>
      </c>
      <c r="AB19" s="18">
        <f>AVERAGE(N19,P19:AA19)</f>
        <v>370459.85</v>
      </c>
    </row>
    <row r="20" spans="1:28">
      <c r="B20" s="39"/>
      <c r="C20" s="39"/>
      <c r="D20" s="39"/>
      <c r="E20" s="39"/>
      <c r="F20" s="39"/>
      <c r="G20" s="39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1:28">
      <c r="A21" s="1" t="s">
        <v>86</v>
      </c>
      <c r="B21" s="38">
        <f>SUM(B9:B20)</f>
        <v>11585057.689999999</v>
      </c>
      <c r="C21" s="38">
        <f t="shared" ref="C21:AA21" si="8">SUM(C9:C20)</f>
        <v>12096763.789666668</v>
      </c>
      <c r="D21" s="38">
        <f t="shared" si="8"/>
        <v>20738485.656333331</v>
      </c>
      <c r="E21" s="38">
        <f t="shared" si="8"/>
        <v>22612307.522999998</v>
      </c>
      <c r="F21" s="38">
        <f t="shared" si="8"/>
        <v>22816462.722999997</v>
      </c>
      <c r="G21" s="38">
        <f t="shared" si="8"/>
        <v>22823042.722999997</v>
      </c>
      <c r="H21" s="38">
        <f t="shared" si="8"/>
        <v>22831122.722999997</v>
      </c>
      <c r="I21" s="38">
        <f t="shared" si="8"/>
        <v>22887702.722999997</v>
      </c>
      <c r="J21" s="38">
        <f t="shared" si="8"/>
        <v>23094282.722999997</v>
      </c>
      <c r="K21" s="38">
        <f t="shared" si="8"/>
        <v>23252862.722999997</v>
      </c>
      <c r="L21" s="38">
        <f t="shared" si="8"/>
        <v>24394442.722999997</v>
      </c>
      <c r="M21" s="38">
        <f t="shared" si="8"/>
        <v>24551022.722999997</v>
      </c>
      <c r="N21" s="38">
        <f t="shared" si="8"/>
        <v>24709602.722999997</v>
      </c>
      <c r="O21" s="18">
        <f>AVERAGE(B21:N21)</f>
        <v>21414858.39738461</v>
      </c>
      <c r="P21" s="38">
        <f t="shared" si="8"/>
        <v>24709602.722999997</v>
      </c>
      <c r="Q21" s="38">
        <f t="shared" si="8"/>
        <v>24709602.722999997</v>
      </c>
      <c r="R21" s="38">
        <f t="shared" si="8"/>
        <v>24709602.722999997</v>
      </c>
      <c r="S21" s="38">
        <f t="shared" si="8"/>
        <v>24709602.722999997</v>
      </c>
      <c r="T21" s="38">
        <f t="shared" si="8"/>
        <v>24709602.722999997</v>
      </c>
      <c r="U21" s="38">
        <f t="shared" si="8"/>
        <v>24709602.722999997</v>
      </c>
      <c r="V21" s="38">
        <f t="shared" si="8"/>
        <v>24709602.722999997</v>
      </c>
      <c r="W21" s="38">
        <f t="shared" si="8"/>
        <v>24709602.722999997</v>
      </c>
      <c r="X21" s="38">
        <f t="shared" si="8"/>
        <v>24709602.722999997</v>
      </c>
      <c r="Y21" s="38">
        <f t="shared" si="8"/>
        <v>24709602.722999997</v>
      </c>
      <c r="Z21" s="38">
        <f t="shared" si="8"/>
        <v>24709602.722999997</v>
      </c>
      <c r="AA21" s="38">
        <f t="shared" si="8"/>
        <v>24709602.722999997</v>
      </c>
      <c r="AB21" s="18">
        <f>AVERAGE(N21,P21:AA21)</f>
        <v>24709602.722999994</v>
      </c>
    </row>
    <row r="22" spans="1:28">
      <c r="B22" s="38"/>
      <c r="C22" s="38"/>
      <c r="D22" s="38"/>
      <c r="E22" s="38"/>
      <c r="F22" s="38"/>
      <c r="G22" s="38"/>
    </row>
    <row r="23" spans="1:28">
      <c r="A23" s="1" t="s">
        <v>90</v>
      </c>
      <c r="B23" s="38">
        <f>'2010-2012 Reg Asset Proj (2)'!C59</f>
        <v>1229280.68</v>
      </c>
      <c r="C23" s="38">
        <f>B23+'2010-2012 Reg Asset Proj (2)'!D59</f>
        <v>1309816.68</v>
      </c>
      <c r="D23" s="38">
        <f>C23+'2010-2012 Reg Asset Proj (2)'!E59</f>
        <v>1419049.68</v>
      </c>
      <c r="E23" s="38">
        <f>D23+'2010-2012 Reg Asset Proj (2)'!F59</f>
        <v>1561353.68</v>
      </c>
      <c r="F23" s="38">
        <f>E23+'2010-2012 Reg Asset Proj (2)'!G59</f>
        <v>1710936.68</v>
      </c>
      <c r="G23" s="38">
        <f>F23+'2010-2012 Reg Asset Proj (2)'!H59</f>
        <v>1862090.68</v>
      </c>
      <c r="H23" s="38">
        <f>G23+'2010-2012 Reg Asset Proj (2)'!I59</f>
        <v>2014220.68</v>
      </c>
      <c r="I23" s="38">
        <f>H23+'2010-2012 Reg Asset Proj (2)'!J59</f>
        <v>2167487.6799999997</v>
      </c>
      <c r="J23" s="38">
        <f>I23+'2010-2012 Reg Asset Proj (2)'!K59</f>
        <v>2322509.6799999997</v>
      </c>
      <c r="K23" s="38">
        <f>J23+'2010-2012 Reg Asset Proj (2)'!L59</f>
        <v>2479612.6799999997</v>
      </c>
      <c r="L23" s="38">
        <f>K23+'2010-2012 Reg Asset Proj (2)'!M59</f>
        <v>2641688.6799999997</v>
      </c>
      <c r="M23" s="38">
        <f>L23+'2010-2012 Reg Asset Proj (2)'!N59</f>
        <v>2808762.6799999997</v>
      </c>
      <c r="N23" s="38">
        <f>M23+'2010-2012 Reg Asset Proj (2)'!O59</f>
        <v>2977837.6799999997</v>
      </c>
      <c r="O23" s="18">
        <f>AVERAGE(B23:N23)</f>
        <v>2038819.0646153842</v>
      </c>
      <c r="P23" s="42">
        <f>N23</f>
        <v>2977837.6799999997</v>
      </c>
      <c r="Q23" s="42">
        <f>P23</f>
        <v>2977837.6799999997</v>
      </c>
      <c r="R23" s="42">
        <f t="shared" ref="R23:AA23" si="9">Q23</f>
        <v>2977837.6799999997</v>
      </c>
      <c r="S23" s="42">
        <f t="shared" si="9"/>
        <v>2977837.6799999997</v>
      </c>
      <c r="T23" s="42">
        <f t="shared" si="9"/>
        <v>2977837.6799999997</v>
      </c>
      <c r="U23" s="42">
        <f t="shared" si="9"/>
        <v>2977837.6799999997</v>
      </c>
      <c r="V23" s="42">
        <f t="shared" si="9"/>
        <v>2977837.6799999997</v>
      </c>
      <c r="W23" s="42">
        <f t="shared" si="9"/>
        <v>2977837.6799999997</v>
      </c>
      <c r="X23" s="42">
        <f t="shared" si="9"/>
        <v>2977837.6799999997</v>
      </c>
      <c r="Y23" s="42">
        <f t="shared" si="9"/>
        <v>2977837.6799999997</v>
      </c>
      <c r="Z23" s="42">
        <f t="shared" si="9"/>
        <v>2977837.6799999997</v>
      </c>
      <c r="AA23" s="42">
        <f t="shared" si="9"/>
        <v>2977837.6799999997</v>
      </c>
      <c r="AB23" s="18">
        <f>AVERAGE(N23,P23:AA23)</f>
        <v>2977837.6799999997</v>
      </c>
    </row>
    <row r="24" spans="1:28">
      <c r="B24" s="38"/>
      <c r="C24" s="38"/>
      <c r="D24" s="38"/>
      <c r="E24" s="38"/>
      <c r="F24" s="38"/>
      <c r="G24" s="38"/>
    </row>
    <row r="25" spans="1:28" ht="13.5" thickBot="1">
      <c r="A25" s="1" t="s">
        <v>87</v>
      </c>
      <c r="B25" s="43">
        <f>B21+B23</f>
        <v>12814338.369999999</v>
      </c>
      <c r="C25" s="43">
        <f t="shared" ref="C25:AA25" si="10">C21+C23</f>
        <v>13406580.469666667</v>
      </c>
      <c r="D25" s="43">
        <f t="shared" si="10"/>
        <v>22157535.336333331</v>
      </c>
      <c r="E25" s="43">
        <f t="shared" si="10"/>
        <v>24173661.202999998</v>
      </c>
      <c r="F25" s="43">
        <f t="shared" si="10"/>
        <v>24527399.402999997</v>
      </c>
      <c r="G25" s="43">
        <f t="shared" si="10"/>
        <v>24685133.402999997</v>
      </c>
      <c r="H25" s="43">
        <f t="shared" si="10"/>
        <v>24845343.402999997</v>
      </c>
      <c r="I25" s="43">
        <f t="shared" si="10"/>
        <v>25055190.402999997</v>
      </c>
      <c r="J25" s="43">
        <f t="shared" si="10"/>
        <v>25416792.402999997</v>
      </c>
      <c r="K25" s="43">
        <f t="shared" si="10"/>
        <v>25732475.402999997</v>
      </c>
      <c r="L25" s="43">
        <f t="shared" si="10"/>
        <v>27036131.402999997</v>
      </c>
      <c r="M25" s="43">
        <f t="shared" si="10"/>
        <v>27359785.402999997</v>
      </c>
      <c r="N25" s="43">
        <f t="shared" si="10"/>
        <v>27687440.402999997</v>
      </c>
      <c r="O25" s="44">
        <f>AVERAGE(B25:N25)</f>
        <v>23453677.461999997</v>
      </c>
      <c r="P25" s="43">
        <f t="shared" si="10"/>
        <v>27687440.402999997</v>
      </c>
      <c r="Q25" s="43">
        <f t="shared" si="10"/>
        <v>27687440.402999997</v>
      </c>
      <c r="R25" s="43">
        <f t="shared" si="10"/>
        <v>27687440.402999997</v>
      </c>
      <c r="S25" s="43">
        <f t="shared" si="10"/>
        <v>27687440.402999997</v>
      </c>
      <c r="T25" s="43">
        <f t="shared" si="10"/>
        <v>27687440.402999997</v>
      </c>
      <c r="U25" s="43">
        <f t="shared" si="10"/>
        <v>27687440.402999997</v>
      </c>
      <c r="V25" s="43">
        <f t="shared" si="10"/>
        <v>27687440.402999997</v>
      </c>
      <c r="W25" s="43">
        <f t="shared" si="10"/>
        <v>27687440.402999997</v>
      </c>
      <c r="X25" s="43">
        <f t="shared" si="10"/>
        <v>27687440.402999997</v>
      </c>
      <c r="Y25" s="43">
        <f t="shared" si="10"/>
        <v>27687440.402999997</v>
      </c>
      <c r="Z25" s="43">
        <f t="shared" si="10"/>
        <v>27687440.402999997</v>
      </c>
      <c r="AA25" s="43">
        <f t="shared" si="10"/>
        <v>27687440.402999997</v>
      </c>
      <c r="AB25" s="44">
        <f>AVERAGE(N25,P25:AA25)</f>
        <v>27687440.402999997</v>
      </c>
    </row>
    <row r="26" spans="1:28" ht="13.5" thickTop="1">
      <c r="B26" s="38"/>
      <c r="C26" s="38"/>
      <c r="D26" s="38"/>
      <c r="E26" s="38"/>
      <c r="F26" s="38"/>
      <c r="G26" s="38"/>
    </row>
  </sheetData>
  <phoneticPr fontId="0" type="noConversion"/>
  <pageMargins left="0.75" right="0.75" top="1" bottom="1" header="0.5" footer="0.5"/>
  <pageSetup scale="50" orientation="landscape" useFirstPageNumber="1" r:id="rId1"/>
  <headerFooter alignWithMargins="0">
    <oddFooter>&amp;L110138-STAFF-POD-18-&amp;P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U71"/>
  <sheetViews>
    <sheetView view="pageLayout" topLeftCell="AC82" zoomScaleNormal="100" workbookViewId="0">
      <selection activeCell="AC96" sqref="AC96:AC99"/>
    </sheetView>
  </sheetViews>
  <sheetFormatPr defaultRowHeight="18"/>
  <cols>
    <col min="1" max="1" width="9.140625" style="27"/>
    <col min="2" max="2" width="42.5703125" style="27" customWidth="1"/>
    <col min="3" max="15" width="16.7109375" style="29" customWidth="1"/>
    <col min="16" max="16" width="17.140625" style="57" customWidth="1"/>
    <col min="17" max="28" width="16" style="29" customWidth="1"/>
    <col min="29" max="29" width="19.28515625" style="57" bestFit="1" customWidth="1"/>
    <col min="30" max="30" width="9.28515625" style="29" bestFit="1" customWidth="1"/>
    <col min="31" max="31" width="14.28515625" style="29" bestFit="1" customWidth="1"/>
    <col min="32" max="32" width="11.5703125" style="29" bestFit="1" customWidth="1"/>
    <col min="33" max="33" width="11.28515625" style="29" bestFit="1" customWidth="1"/>
    <col min="34" max="47" width="9.140625" style="29"/>
    <col min="48" max="16384" width="9.140625" style="27"/>
  </cols>
  <sheetData>
    <row r="1" spans="1:33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Q1" s="57"/>
      <c r="R1" s="57"/>
      <c r="S1" s="57"/>
      <c r="T1" s="57"/>
      <c r="U1" s="57"/>
      <c r="V1" s="57"/>
      <c r="W1" s="57"/>
      <c r="X1" s="57"/>
    </row>
    <row r="2" spans="1:3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N2" s="58">
        <v>40456</v>
      </c>
      <c r="Q2" s="57"/>
      <c r="R2" s="57"/>
      <c r="S2" s="57"/>
      <c r="T2" s="57"/>
      <c r="U2" s="57"/>
      <c r="V2" s="57"/>
      <c r="W2" s="57"/>
      <c r="X2" s="57"/>
      <c r="AA2" s="58"/>
    </row>
    <row r="3" spans="1:33" ht="18.75">
      <c r="A3" s="59" t="s">
        <v>80</v>
      </c>
      <c r="E3" s="22" t="s">
        <v>71</v>
      </c>
      <c r="R3" s="23"/>
    </row>
    <row r="4" spans="1:33" ht="18.75">
      <c r="D4" s="60" t="s">
        <v>42</v>
      </c>
      <c r="E4" s="22"/>
      <c r="Q4" s="60" t="s">
        <v>42</v>
      </c>
      <c r="R4" s="22"/>
    </row>
    <row r="5" spans="1:33">
      <c r="C5" s="61" t="s">
        <v>43</v>
      </c>
      <c r="D5" s="62" t="s">
        <v>44</v>
      </c>
      <c r="K5" s="61"/>
      <c r="M5" s="61"/>
      <c r="P5" s="61" t="s">
        <v>43</v>
      </c>
      <c r="Q5" s="63">
        <v>2012</v>
      </c>
      <c r="X5" s="61"/>
      <c r="Z5" s="61"/>
      <c r="AC5" s="61" t="s">
        <v>43</v>
      </c>
    </row>
    <row r="6" spans="1:33">
      <c r="C6" s="62" t="s">
        <v>72</v>
      </c>
      <c r="D6" s="60" t="s">
        <v>7</v>
      </c>
      <c r="E6" s="60" t="s">
        <v>8</v>
      </c>
      <c r="F6" s="60" t="s">
        <v>9</v>
      </c>
      <c r="G6" s="60" t="s">
        <v>10</v>
      </c>
      <c r="H6" s="60" t="s">
        <v>11</v>
      </c>
      <c r="I6" s="60" t="s">
        <v>12</v>
      </c>
      <c r="J6" s="60" t="s">
        <v>13</v>
      </c>
      <c r="K6" s="60" t="s">
        <v>14</v>
      </c>
      <c r="L6" s="60" t="s">
        <v>15</v>
      </c>
      <c r="M6" s="60" t="s">
        <v>16</v>
      </c>
      <c r="N6" s="60" t="s">
        <v>17</v>
      </c>
      <c r="O6" s="60" t="s">
        <v>18</v>
      </c>
      <c r="P6" s="62" t="s">
        <v>45</v>
      </c>
      <c r="Q6" s="60" t="s">
        <v>7</v>
      </c>
      <c r="R6" s="60" t="s">
        <v>8</v>
      </c>
      <c r="S6" s="60" t="s">
        <v>9</v>
      </c>
      <c r="T6" s="60" t="s">
        <v>10</v>
      </c>
      <c r="U6" s="60" t="s">
        <v>11</v>
      </c>
      <c r="V6" s="60" t="s">
        <v>12</v>
      </c>
      <c r="W6" s="60" t="s">
        <v>13</v>
      </c>
      <c r="X6" s="60" t="s">
        <v>14</v>
      </c>
      <c r="Y6" s="60" t="s">
        <v>15</v>
      </c>
      <c r="Z6" s="60" t="s">
        <v>16</v>
      </c>
      <c r="AA6" s="60" t="s">
        <v>17</v>
      </c>
      <c r="AB6" s="60" t="s">
        <v>18</v>
      </c>
      <c r="AC6" s="62" t="s">
        <v>73</v>
      </c>
    </row>
    <row r="8" spans="1:33">
      <c r="A8" s="25" t="s">
        <v>46</v>
      </c>
      <c r="C8" s="45">
        <v>6411886</v>
      </c>
      <c r="D8" s="45">
        <f t="shared" ref="D8:O8" si="0">C8+D9</f>
        <v>6708886</v>
      </c>
      <c r="E8" s="45">
        <f t="shared" si="0"/>
        <v>15235286</v>
      </c>
      <c r="F8" s="45">
        <f t="shared" si="0"/>
        <v>16985286</v>
      </c>
      <c r="G8" s="45">
        <f t="shared" si="0"/>
        <v>17165286</v>
      </c>
      <c r="H8" s="45">
        <f t="shared" si="0"/>
        <v>17165286</v>
      </c>
      <c r="I8" s="45">
        <f t="shared" si="0"/>
        <v>17165286</v>
      </c>
      <c r="J8" s="45">
        <f t="shared" si="0"/>
        <v>17165286</v>
      </c>
      <c r="K8" s="45">
        <f t="shared" si="0"/>
        <v>17165286</v>
      </c>
      <c r="L8" s="45">
        <f t="shared" si="0"/>
        <v>17165286</v>
      </c>
      <c r="M8" s="45">
        <f t="shared" si="0"/>
        <v>18140286</v>
      </c>
      <c r="N8" s="45">
        <f t="shared" si="0"/>
        <v>18140286</v>
      </c>
      <c r="O8" s="45">
        <f t="shared" si="0"/>
        <v>18140286</v>
      </c>
      <c r="P8" s="45">
        <f>P9</f>
        <v>18140286</v>
      </c>
      <c r="AC8" s="29"/>
      <c r="AE8" s="29">
        <f>AVERAGE(C8:O8)</f>
        <v>15596455.23076923</v>
      </c>
      <c r="AG8" s="29">
        <f>AVERAGE(P8:AB8)</f>
        <v>18140286</v>
      </c>
    </row>
    <row r="9" spans="1:33">
      <c r="A9" s="26" t="s">
        <v>47</v>
      </c>
      <c r="C9" s="29">
        <v>6411886</v>
      </c>
      <c r="D9" s="28">
        <v>297000</v>
      </c>
      <c r="E9" s="28">
        <f>5026400+400000+2500000+400000+200000</f>
        <v>8526400</v>
      </c>
      <c r="F9" s="28">
        <f>250000+1300000+200000</f>
        <v>1750000</v>
      </c>
      <c r="G9" s="28">
        <f>180000</f>
        <v>180000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f>850000+125000</f>
        <v>975000</v>
      </c>
      <c r="N9" s="28">
        <v>0</v>
      </c>
      <c r="O9" s="28">
        <v>0</v>
      </c>
      <c r="P9" s="29">
        <f>SUM(D9:O9)+C9</f>
        <v>18140286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>
        <f>SUM(Q9:AB9)+P9</f>
        <v>18140286</v>
      </c>
    </row>
    <row r="10" spans="1:33">
      <c r="A10" s="26" t="s">
        <v>48</v>
      </c>
      <c r="C10" s="28">
        <v>4652.8600000000006</v>
      </c>
      <c r="D10" s="30">
        <f>80</f>
        <v>80</v>
      </c>
      <c r="E10" s="30">
        <f>80</f>
        <v>80</v>
      </c>
      <c r="F10" s="30">
        <f>80</f>
        <v>80</v>
      </c>
      <c r="G10" s="30">
        <f>80</f>
        <v>80</v>
      </c>
      <c r="H10" s="30">
        <f>80</f>
        <v>80</v>
      </c>
      <c r="I10" s="30">
        <f>80</f>
        <v>80</v>
      </c>
      <c r="J10" s="30">
        <f>80</f>
        <v>80</v>
      </c>
      <c r="K10" s="30">
        <f>80</f>
        <v>80</v>
      </c>
      <c r="L10" s="30">
        <f>80</f>
        <v>80</v>
      </c>
      <c r="M10" s="30">
        <f>80</f>
        <v>80</v>
      </c>
      <c r="N10" s="30">
        <f>80</f>
        <v>80</v>
      </c>
      <c r="O10" s="30">
        <f>80</f>
        <v>80</v>
      </c>
      <c r="P10" s="29">
        <f t="shared" ref="P10:P15" si="1">SUM(D10:O10)+C10</f>
        <v>5612.8600000000006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29">
        <f t="shared" ref="AC10:AC15" si="2">SUM(Q10:AB10)+P10</f>
        <v>5612.8600000000006</v>
      </c>
    </row>
    <row r="11" spans="1:33">
      <c r="A11" s="26" t="s">
        <v>49</v>
      </c>
      <c r="C11" s="28">
        <v>10773.32</v>
      </c>
      <c r="D11" s="28">
        <f>C9*0.0155</f>
        <v>99384.232999999993</v>
      </c>
      <c r="E11" s="28"/>
      <c r="F11" s="28"/>
      <c r="G11" s="28"/>
      <c r="P11" s="29">
        <f t="shared" si="1"/>
        <v>110157.55299999999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>
        <f t="shared" si="2"/>
        <v>110157.55299999999</v>
      </c>
    </row>
    <row r="12" spans="1:33">
      <c r="A12" s="26" t="s">
        <v>50</v>
      </c>
      <c r="C12" s="28">
        <v>264846.77999999991</v>
      </c>
      <c r="D12" s="30">
        <f>4330*2+500</f>
        <v>9160</v>
      </c>
      <c r="E12" s="30">
        <f>4330*2+500</f>
        <v>9160</v>
      </c>
      <c r="F12" s="30">
        <f>4330*2+500</f>
        <v>9160</v>
      </c>
      <c r="G12" s="30">
        <f>4330*2+500</f>
        <v>9160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9">
        <f t="shared" si="1"/>
        <v>301486.77999999991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>
        <f t="shared" si="2"/>
        <v>301486.77999999991</v>
      </c>
    </row>
    <row r="13" spans="1:33">
      <c r="A13" s="26" t="s">
        <v>74</v>
      </c>
      <c r="C13" s="28">
        <v>6437.21</v>
      </c>
      <c r="D13" s="30">
        <f>(915.2/(4330.36+4330.36))*(4330.36*2)</f>
        <v>915.2</v>
      </c>
      <c r="E13" s="30">
        <f>(915.2/(4330.36+4330.36))*(4330.36*2)</f>
        <v>915.2</v>
      </c>
      <c r="F13" s="30">
        <f>(915.2/(4330.36+4330.36))*(4330.36*2)</f>
        <v>915.2</v>
      </c>
      <c r="G13" s="30">
        <f>(915.2/(4330.36+4330.36))*(4330.36*2)</f>
        <v>915.2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9">
        <f t="shared" si="1"/>
        <v>10098.01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>
        <f t="shared" si="2"/>
        <v>10098.01</v>
      </c>
    </row>
    <row r="14" spans="1:33">
      <c r="A14" s="26" t="s">
        <v>51</v>
      </c>
      <c r="C14" s="28">
        <v>54411.33</v>
      </c>
      <c r="D14" s="28">
        <v>2000</v>
      </c>
      <c r="E14" s="28">
        <v>2000</v>
      </c>
      <c r="F14" s="28">
        <v>2000</v>
      </c>
      <c r="G14" s="28">
        <v>2000</v>
      </c>
      <c r="H14" s="28">
        <v>2000</v>
      </c>
      <c r="I14" s="28">
        <v>2000</v>
      </c>
      <c r="J14" s="28">
        <v>2000</v>
      </c>
      <c r="K14" s="28">
        <v>2000</v>
      </c>
      <c r="L14" s="28">
        <v>2000</v>
      </c>
      <c r="M14" s="28">
        <v>2000</v>
      </c>
      <c r="N14" s="28">
        <v>2000</v>
      </c>
      <c r="O14" s="28">
        <v>2000</v>
      </c>
      <c r="P14" s="29">
        <f t="shared" si="1"/>
        <v>78411.33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>
        <f t="shared" si="2"/>
        <v>78411.33</v>
      </c>
    </row>
    <row r="15" spans="1:33">
      <c r="A15" s="26" t="s">
        <v>75</v>
      </c>
      <c r="C15" s="28">
        <v>227718.64</v>
      </c>
      <c r="D15" s="28">
        <v>7000</v>
      </c>
      <c r="E15" s="28">
        <v>7000</v>
      </c>
      <c r="F15" s="28">
        <v>14000</v>
      </c>
      <c r="G15" s="28">
        <v>7000</v>
      </c>
      <c r="H15" s="28"/>
      <c r="I15" s="28"/>
      <c r="J15" s="28"/>
      <c r="K15" s="28"/>
      <c r="L15" s="28"/>
      <c r="M15" s="28">
        <v>10000</v>
      </c>
      <c r="N15" s="28">
        <v>0</v>
      </c>
      <c r="O15" s="28"/>
      <c r="P15" s="29">
        <f t="shared" si="1"/>
        <v>272718.64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>
        <f t="shared" si="2"/>
        <v>272718.64</v>
      </c>
    </row>
    <row r="16" spans="1:33">
      <c r="A16" s="25" t="s">
        <v>52</v>
      </c>
      <c r="C16" s="28">
        <f t="shared" ref="C16:AC16" si="3">SUM(C9:C15)</f>
        <v>6980726.1400000006</v>
      </c>
      <c r="D16" s="28">
        <f t="shared" si="3"/>
        <v>415539.43300000002</v>
      </c>
      <c r="E16" s="28">
        <f t="shared" si="3"/>
        <v>8545555.1999999993</v>
      </c>
      <c r="F16" s="28">
        <f t="shared" si="3"/>
        <v>1776155.2</v>
      </c>
      <c r="G16" s="28">
        <f t="shared" si="3"/>
        <v>199155.20000000001</v>
      </c>
      <c r="H16" s="28">
        <f t="shared" si="3"/>
        <v>2080</v>
      </c>
      <c r="I16" s="28">
        <f t="shared" si="3"/>
        <v>2080</v>
      </c>
      <c r="J16" s="28">
        <f t="shared" si="3"/>
        <v>2080</v>
      </c>
      <c r="K16" s="28">
        <f t="shared" si="3"/>
        <v>2080</v>
      </c>
      <c r="L16" s="28">
        <f t="shared" si="3"/>
        <v>2080</v>
      </c>
      <c r="M16" s="28">
        <f t="shared" si="3"/>
        <v>987080</v>
      </c>
      <c r="N16" s="28">
        <f t="shared" si="3"/>
        <v>2080</v>
      </c>
      <c r="O16" s="28">
        <f t="shared" si="3"/>
        <v>2080</v>
      </c>
      <c r="P16" s="28">
        <f t="shared" si="3"/>
        <v>18918771.173</v>
      </c>
      <c r="Q16" s="28">
        <f t="shared" si="3"/>
        <v>0</v>
      </c>
      <c r="R16" s="28">
        <f t="shared" si="3"/>
        <v>0</v>
      </c>
      <c r="S16" s="28">
        <f t="shared" si="3"/>
        <v>0</v>
      </c>
      <c r="T16" s="28">
        <f t="shared" si="3"/>
        <v>0</v>
      </c>
      <c r="U16" s="28">
        <f t="shared" si="3"/>
        <v>0</v>
      </c>
      <c r="V16" s="28">
        <f t="shared" si="3"/>
        <v>0</v>
      </c>
      <c r="W16" s="28">
        <f t="shared" si="3"/>
        <v>0</v>
      </c>
      <c r="X16" s="28">
        <f t="shared" si="3"/>
        <v>0</v>
      </c>
      <c r="Y16" s="28">
        <f t="shared" si="3"/>
        <v>0</v>
      </c>
      <c r="Z16" s="28">
        <f t="shared" si="3"/>
        <v>0</v>
      </c>
      <c r="AA16" s="28">
        <f t="shared" si="3"/>
        <v>0</v>
      </c>
      <c r="AB16" s="28">
        <f t="shared" si="3"/>
        <v>0</v>
      </c>
      <c r="AC16" s="28">
        <f t="shared" si="3"/>
        <v>18918771.173</v>
      </c>
    </row>
    <row r="17" spans="1:29">
      <c r="B17" s="31"/>
      <c r="C17" s="45">
        <f>SUM(C10:C15)</f>
        <v>568840.1399999999</v>
      </c>
      <c r="D17" s="45">
        <f>C17+SUM(D10:D15)</f>
        <v>687379.57299999986</v>
      </c>
      <c r="E17" s="45">
        <f t="shared" ref="E17:O17" si="4">D17+SUM(E10:E15)</f>
        <v>706534.77299999981</v>
      </c>
      <c r="F17" s="45">
        <f t="shared" si="4"/>
        <v>732689.97299999977</v>
      </c>
      <c r="G17" s="45">
        <f t="shared" si="4"/>
        <v>751845.17299999972</v>
      </c>
      <c r="H17" s="45">
        <f t="shared" si="4"/>
        <v>753925.17299999972</v>
      </c>
      <c r="I17" s="45">
        <f t="shared" si="4"/>
        <v>756005.17299999972</v>
      </c>
      <c r="J17" s="45">
        <f t="shared" si="4"/>
        <v>758085.17299999972</v>
      </c>
      <c r="K17" s="45">
        <f t="shared" si="4"/>
        <v>760165.17299999972</v>
      </c>
      <c r="L17" s="45">
        <f t="shared" si="4"/>
        <v>762245.17299999972</v>
      </c>
      <c r="M17" s="45">
        <f t="shared" si="4"/>
        <v>774325.17299999972</v>
      </c>
      <c r="N17" s="45">
        <f t="shared" si="4"/>
        <v>776405.17299999972</v>
      </c>
      <c r="O17" s="45">
        <f t="shared" si="4"/>
        <v>778485.17299999972</v>
      </c>
      <c r="P17" s="45">
        <f>SUM(P10:P15)</f>
        <v>778485.17299999995</v>
      </c>
      <c r="AC17" s="29"/>
    </row>
    <row r="18" spans="1:29">
      <c r="A18" s="32" t="s">
        <v>4</v>
      </c>
      <c r="P18" s="29"/>
      <c r="AC18" s="29"/>
    </row>
    <row r="19" spans="1:29">
      <c r="A19" s="26" t="s">
        <v>0</v>
      </c>
      <c r="C19" s="28">
        <v>99630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f t="shared" ref="P19:P31" si="5">SUM(D19:O19)+C19</f>
        <v>99630</v>
      </c>
      <c r="AC19" s="29"/>
    </row>
    <row r="20" spans="1:29">
      <c r="A20" s="26" t="s">
        <v>53</v>
      </c>
      <c r="C20" s="28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 t="shared" si="5"/>
        <v>0</v>
      </c>
      <c r="AC20" s="29"/>
    </row>
    <row r="21" spans="1:29">
      <c r="A21" s="27" t="s">
        <v>54</v>
      </c>
      <c r="C21" s="28">
        <v>418193.08</v>
      </c>
      <c r="D21" s="29">
        <v>2500</v>
      </c>
      <c r="E21" s="29">
        <v>2500</v>
      </c>
      <c r="F21" s="29">
        <v>2500</v>
      </c>
      <c r="G21" s="29">
        <v>2500</v>
      </c>
      <c r="H21" s="29">
        <v>2500</v>
      </c>
      <c r="I21" s="29">
        <v>2500</v>
      </c>
      <c r="J21" s="29">
        <v>2500</v>
      </c>
      <c r="K21" s="29">
        <v>2500</v>
      </c>
      <c r="L21" s="29">
        <v>2500</v>
      </c>
      <c r="M21" s="29">
        <v>2500</v>
      </c>
      <c r="N21" s="29">
        <v>2500</v>
      </c>
      <c r="O21" s="29">
        <v>2500</v>
      </c>
      <c r="P21" s="29">
        <f t="shared" si="5"/>
        <v>448193.08</v>
      </c>
      <c r="AC21" s="29"/>
    </row>
    <row r="22" spans="1:29">
      <c r="A22" s="27" t="s">
        <v>55</v>
      </c>
      <c r="C22" s="28">
        <v>396750.83999999997</v>
      </c>
      <c r="D22" s="29">
        <v>0</v>
      </c>
      <c r="E22" s="29">
        <v>0</v>
      </c>
      <c r="F22" s="29">
        <v>0</v>
      </c>
      <c r="P22" s="29">
        <f t="shared" si="5"/>
        <v>396750.83999999997</v>
      </c>
      <c r="AC22" s="29"/>
    </row>
    <row r="23" spans="1:29">
      <c r="A23" s="27" t="s">
        <v>56</v>
      </c>
      <c r="C23" s="28">
        <v>128031.54</v>
      </c>
      <c r="D23" s="28">
        <v>1000</v>
      </c>
      <c r="E23" s="28">
        <v>1000</v>
      </c>
      <c r="F23" s="28">
        <v>1000</v>
      </c>
      <c r="G23" s="28">
        <v>1000</v>
      </c>
      <c r="H23" s="28">
        <v>1000</v>
      </c>
      <c r="I23" s="28">
        <v>1000</v>
      </c>
      <c r="J23" s="28">
        <v>1000</v>
      </c>
      <c r="K23" s="28">
        <v>1000</v>
      </c>
      <c r="L23" s="28">
        <v>1000</v>
      </c>
      <c r="M23" s="28">
        <v>1000</v>
      </c>
      <c r="N23" s="28">
        <v>1000</v>
      </c>
      <c r="O23" s="28">
        <v>1000</v>
      </c>
      <c r="P23" s="29">
        <f t="shared" si="5"/>
        <v>140031.53999999998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</row>
    <row r="24" spans="1:29">
      <c r="A24" s="27" t="s">
        <v>76</v>
      </c>
      <c r="C24" s="28">
        <v>767237.10000000009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50000</v>
      </c>
      <c r="K24" s="29">
        <v>100000</v>
      </c>
      <c r="L24" s="29">
        <v>50000</v>
      </c>
      <c r="M24" s="29">
        <v>50000</v>
      </c>
      <c r="N24" s="29">
        <v>50000</v>
      </c>
      <c r="O24" s="29">
        <v>50000</v>
      </c>
      <c r="P24" s="29">
        <f t="shared" si="5"/>
        <v>1117237.1000000001</v>
      </c>
      <c r="AC24" s="29"/>
    </row>
    <row r="25" spans="1:29">
      <c r="A25" s="27" t="s">
        <v>77</v>
      </c>
      <c r="C25" s="28">
        <v>667721.19999999995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100000</v>
      </c>
      <c r="L25" s="29">
        <v>100000</v>
      </c>
      <c r="M25" s="29">
        <v>100000</v>
      </c>
      <c r="N25" s="29">
        <v>100000</v>
      </c>
      <c r="O25" s="29">
        <v>100000</v>
      </c>
      <c r="P25" s="29">
        <f t="shared" si="5"/>
        <v>1167721.2</v>
      </c>
      <c r="AC25" s="29"/>
    </row>
    <row r="26" spans="1:29">
      <c r="A26" s="27" t="s">
        <v>57</v>
      </c>
      <c r="C26" s="28">
        <v>286887.42</v>
      </c>
      <c r="D26" s="29">
        <f>275000/3</f>
        <v>91666.666666666672</v>
      </c>
      <c r="E26" s="29">
        <f>275000/3</f>
        <v>91666.666666666672</v>
      </c>
      <c r="F26" s="29">
        <f>275000/3</f>
        <v>91666.666666666672</v>
      </c>
      <c r="P26" s="29">
        <f t="shared" si="5"/>
        <v>561887.41999999993</v>
      </c>
      <c r="AC26" s="29"/>
    </row>
    <row r="27" spans="1:29">
      <c r="A27" s="33" t="s">
        <v>58</v>
      </c>
      <c r="C27" s="28">
        <v>67072.030000000042</v>
      </c>
      <c r="D27" s="29">
        <v>1000</v>
      </c>
      <c r="E27" s="29">
        <v>1000</v>
      </c>
      <c r="F27" s="29">
        <v>1000</v>
      </c>
      <c r="G27" s="29">
        <v>1000</v>
      </c>
      <c r="H27" s="29">
        <v>1000</v>
      </c>
      <c r="I27" s="29">
        <v>1000</v>
      </c>
      <c r="J27" s="29">
        <v>1000</v>
      </c>
      <c r="K27" s="29">
        <v>1000</v>
      </c>
      <c r="L27" s="29">
        <v>1000</v>
      </c>
      <c r="M27" s="29">
        <v>1000</v>
      </c>
      <c r="N27" s="29">
        <v>1000</v>
      </c>
      <c r="O27" s="29">
        <v>1000</v>
      </c>
      <c r="P27" s="29">
        <f t="shared" si="5"/>
        <v>79072.030000000042</v>
      </c>
      <c r="AC27" s="29"/>
    </row>
    <row r="28" spans="1:29">
      <c r="A28" s="27" t="s">
        <v>59</v>
      </c>
      <c r="C28" s="28">
        <v>19988.46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f t="shared" si="5"/>
        <v>19988.46</v>
      </c>
      <c r="AC28" s="29"/>
    </row>
    <row r="29" spans="1:29">
      <c r="A29" s="26" t="s">
        <v>60</v>
      </c>
      <c r="C29" s="28">
        <v>7670.42</v>
      </c>
      <c r="D29" s="29">
        <v>0</v>
      </c>
      <c r="E29" s="29">
        <v>0</v>
      </c>
      <c r="F29" s="29">
        <v>0</v>
      </c>
      <c r="G29" s="29">
        <v>500</v>
      </c>
      <c r="L29" s="29">
        <v>500</v>
      </c>
      <c r="O29" s="29">
        <v>500</v>
      </c>
      <c r="P29" s="29">
        <f t="shared" si="5"/>
        <v>9170.42</v>
      </c>
      <c r="AC29" s="29"/>
    </row>
    <row r="30" spans="1:29">
      <c r="A30" s="27" t="s">
        <v>1</v>
      </c>
      <c r="C30" s="28">
        <v>503089.89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f t="shared" si="5"/>
        <v>503089.89</v>
      </c>
      <c r="AC30" s="29"/>
    </row>
    <row r="31" spans="1:29">
      <c r="A31" s="27" t="s">
        <v>78</v>
      </c>
      <c r="C31" s="28">
        <v>0</v>
      </c>
      <c r="F31" s="29">
        <v>1500</v>
      </c>
      <c r="I31" s="29">
        <v>1500</v>
      </c>
      <c r="J31" s="29">
        <v>0</v>
      </c>
      <c r="K31" s="29">
        <v>0</v>
      </c>
      <c r="L31" s="29">
        <v>1500</v>
      </c>
      <c r="M31" s="29">
        <v>0</v>
      </c>
      <c r="N31" s="29">
        <v>0</v>
      </c>
      <c r="O31" s="29">
        <v>1500</v>
      </c>
      <c r="P31" s="29">
        <f t="shared" si="5"/>
        <v>6000</v>
      </c>
      <c r="AC31" s="29"/>
    </row>
    <row r="32" spans="1:29">
      <c r="A32" s="33"/>
      <c r="C32" s="28"/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/>
      <c r="AC32" s="29"/>
    </row>
    <row r="33" spans="1:29">
      <c r="A33" s="25" t="s">
        <v>61</v>
      </c>
      <c r="B33" s="26"/>
      <c r="C33" s="29">
        <f t="shared" ref="C33:AC33" si="6">SUM(C19:C32)</f>
        <v>3362271.98</v>
      </c>
      <c r="D33" s="29">
        <f t="shared" si="6"/>
        <v>96166.666666666672</v>
      </c>
      <c r="E33" s="29">
        <f t="shared" si="6"/>
        <v>96166.666666666672</v>
      </c>
      <c r="F33" s="29">
        <f t="shared" si="6"/>
        <v>97666.666666666672</v>
      </c>
      <c r="G33" s="29">
        <f t="shared" si="6"/>
        <v>5000</v>
      </c>
      <c r="H33" s="29">
        <f t="shared" si="6"/>
        <v>4500</v>
      </c>
      <c r="I33" s="29">
        <f t="shared" si="6"/>
        <v>6000</v>
      </c>
      <c r="J33" s="29">
        <f t="shared" si="6"/>
        <v>54500</v>
      </c>
      <c r="K33" s="29">
        <f t="shared" si="6"/>
        <v>204500</v>
      </c>
      <c r="L33" s="29">
        <f t="shared" si="6"/>
        <v>156500</v>
      </c>
      <c r="M33" s="29">
        <f t="shared" si="6"/>
        <v>154500</v>
      </c>
      <c r="N33" s="29">
        <f t="shared" si="6"/>
        <v>154500</v>
      </c>
      <c r="O33" s="29">
        <f t="shared" si="6"/>
        <v>156500</v>
      </c>
      <c r="P33" s="29">
        <f>SUM(P19:P32)</f>
        <v>4548771.9799999995</v>
      </c>
      <c r="Q33" s="29">
        <f t="shared" si="6"/>
        <v>0</v>
      </c>
      <c r="R33" s="29">
        <f t="shared" si="6"/>
        <v>0</v>
      </c>
      <c r="S33" s="29">
        <f t="shared" si="6"/>
        <v>0</v>
      </c>
      <c r="T33" s="29">
        <f t="shared" si="6"/>
        <v>0</v>
      </c>
      <c r="U33" s="29">
        <f t="shared" si="6"/>
        <v>0</v>
      </c>
      <c r="V33" s="29">
        <f t="shared" si="6"/>
        <v>0</v>
      </c>
      <c r="W33" s="29">
        <f t="shared" si="6"/>
        <v>0</v>
      </c>
      <c r="X33" s="29">
        <f t="shared" si="6"/>
        <v>0</v>
      </c>
      <c r="Y33" s="29">
        <f t="shared" si="6"/>
        <v>0</v>
      </c>
      <c r="Z33" s="29">
        <f t="shared" si="6"/>
        <v>0</v>
      </c>
      <c r="AA33" s="29">
        <f t="shared" si="6"/>
        <v>0</v>
      </c>
      <c r="AB33" s="29">
        <f t="shared" si="6"/>
        <v>0</v>
      </c>
      <c r="AC33" s="29">
        <f t="shared" si="6"/>
        <v>0</v>
      </c>
    </row>
    <row r="34" spans="1:29">
      <c r="A34" s="33"/>
      <c r="C34" s="45">
        <v>3362272</v>
      </c>
      <c r="D34" s="45">
        <f>C34+D33</f>
        <v>3458438.6666666665</v>
      </c>
      <c r="E34" s="45">
        <f t="shared" ref="E34:O34" si="7">D34+E33</f>
        <v>3554605.333333333</v>
      </c>
      <c r="F34" s="45">
        <f t="shared" si="7"/>
        <v>3652271.9999999995</v>
      </c>
      <c r="G34" s="45">
        <f t="shared" si="7"/>
        <v>3657271.9999999995</v>
      </c>
      <c r="H34" s="45">
        <f t="shared" si="7"/>
        <v>3661771.9999999995</v>
      </c>
      <c r="I34" s="45">
        <f t="shared" si="7"/>
        <v>3667771.9999999995</v>
      </c>
      <c r="J34" s="45">
        <f t="shared" si="7"/>
        <v>3722271.9999999995</v>
      </c>
      <c r="K34" s="45">
        <f t="shared" si="7"/>
        <v>3926771.9999999995</v>
      </c>
      <c r="L34" s="45">
        <f t="shared" si="7"/>
        <v>4083271.9999999995</v>
      </c>
      <c r="M34" s="45">
        <f t="shared" si="7"/>
        <v>4237772</v>
      </c>
      <c r="N34" s="45">
        <f t="shared" si="7"/>
        <v>4392272</v>
      </c>
      <c r="O34" s="45">
        <f t="shared" si="7"/>
        <v>4548772</v>
      </c>
      <c r="P34" s="29"/>
      <c r="AC34" s="29"/>
    </row>
    <row r="35" spans="1:29">
      <c r="A35" s="32" t="s">
        <v>5</v>
      </c>
      <c r="P35" s="29"/>
      <c r="AC35" s="29"/>
    </row>
    <row r="36" spans="1:29">
      <c r="A36" s="26" t="s">
        <v>62</v>
      </c>
      <c r="C36" s="28">
        <v>187237.89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f>SUM(D36:O36)+C36</f>
        <v>187237.89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f>SUM(Q36:AB36)+P36</f>
        <v>187237.89</v>
      </c>
    </row>
    <row r="37" spans="1:29">
      <c r="A37" s="33"/>
      <c r="P37" s="29"/>
      <c r="AC37" s="29"/>
    </row>
    <row r="38" spans="1:29">
      <c r="A38" s="32" t="s">
        <v>2</v>
      </c>
      <c r="C38" s="28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>SUM(D38:O38)+C38</f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f>SUM(Q38:AB38)+P38</f>
        <v>0</v>
      </c>
    </row>
    <row r="39" spans="1:29">
      <c r="A39" s="33"/>
      <c r="P39" s="29"/>
      <c r="AC39" s="29"/>
    </row>
    <row r="40" spans="1:29">
      <c r="A40" s="32" t="s">
        <v>6</v>
      </c>
      <c r="P40" s="29"/>
      <c r="AC40" s="29"/>
    </row>
    <row r="41" spans="1:29">
      <c r="A41" s="33" t="s">
        <v>92</v>
      </c>
      <c r="C41" s="28">
        <v>261328.42</v>
      </c>
      <c r="P41" s="29">
        <f>SUM(D41:O41)+C41</f>
        <v>261328.42</v>
      </c>
      <c r="AC41" s="29">
        <f>SUM(Q41:AB41)+P41</f>
        <v>261328.42</v>
      </c>
    </row>
    <row r="42" spans="1:29">
      <c r="A42" s="26" t="s">
        <v>63</v>
      </c>
      <c r="C42" s="28">
        <v>39113.56</v>
      </c>
      <c r="P42" s="29">
        <f>SUM(D42:O42)+C42</f>
        <v>39113.56</v>
      </c>
      <c r="AC42" s="29">
        <f>SUM(Q42:AB42)+P42</f>
        <v>39113.56</v>
      </c>
    </row>
    <row r="43" spans="1:29">
      <c r="A43" s="26" t="s">
        <v>3</v>
      </c>
      <c r="C43" s="28">
        <v>132533.39000000001</v>
      </c>
      <c r="P43" s="29">
        <f>SUM(D43:O43)+C43</f>
        <v>132533.39000000001</v>
      </c>
      <c r="AC43" s="29">
        <f>SUM(Q43:AB43)+P43</f>
        <v>132533.39000000001</v>
      </c>
    </row>
    <row r="44" spans="1:29">
      <c r="A44" s="26" t="s">
        <v>74</v>
      </c>
      <c r="C44" s="28">
        <v>221.22</v>
      </c>
      <c r="P44" s="29">
        <f>SUM(D44:O44)+C44</f>
        <v>221.22</v>
      </c>
      <c r="AC44" s="29">
        <f>SUM(Q44:AB44)+P44</f>
        <v>221.22</v>
      </c>
    </row>
    <row r="45" spans="1:29">
      <c r="A45" s="26" t="s">
        <v>64</v>
      </c>
      <c r="C45" s="28">
        <v>217545.24</v>
      </c>
      <c r="P45" s="29">
        <f>SUM(D45:O45)+C45</f>
        <v>217545.24</v>
      </c>
      <c r="AC45" s="29">
        <f>SUM(Q45:AB45)+P45</f>
        <v>217545.24</v>
      </c>
    </row>
    <row r="46" spans="1:29">
      <c r="A46" s="25" t="s">
        <v>65</v>
      </c>
      <c r="B46" s="31"/>
      <c r="C46" s="28">
        <f t="shared" ref="C46:AC46" si="8">SUM(C41:C45)</f>
        <v>650741.82999999996</v>
      </c>
      <c r="D46" s="28">
        <f t="shared" si="8"/>
        <v>0</v>
      </c>
      <c r="E46" s="28">
        <f t="shared" si="8"/>
        <v>0</v>
      </c>
      <c r="F46" s="28">
        <f t="shared" si="8"/>
        <v>0</v>
      </c>
      <c r="G46" s="28">
        <f t="shared" si="8"/>
        <v>0</v>
      </c>
      <c r="H46" s="28">
        <f t="shared" si="8"/>
        <v>0</v>
      </c>
      <c r="I46" s="28">
        <f t="shared" si="8"/>
        <v>0</v>
      </c>
      <c r="J46" s="28">
        <f t="shared" si="8"/>
        <v>0</v>
      </c>
      <c r="K46" s="28">
        <f t="shared" si="8"/>
        <v>0</v>
      </c>
      <c r="L46" s="28">
        <f t="shared" si="8"/>
        <v>0</v>
      </c>
      <c r="M46" s="28">
        <f t="shared" si="8"/>
        <v>0</v>
      </c>
      <c r="N46" s="28">
        <f t="shared" si="8"/>
        <v>0</v>
      </c>
      <c r="O46" s="28">
        <f t="shared" si="8"/>
        <v>0</v>
      </c>
      <c r="P46" s="28">
        <f t="shared" si="8"/>
        <v>650741.82999999996</v>
      </c>
      <c r="Q46" s="28">
        <f t="shared" si="8"/>
        <v>0</v>
      </c>
      <c r="R46" s="28">
        <f t="shared" si="8"/>
        <v>0</v>
      </c>
      <c r="S46" s="28">
        <f t="shared" si="8"/>
        <v>0</v>
      </c>
      <c r="T46" s="28">
        <f t="shared" si="8"/>
        <v>0</v>
      </c>
      <c r="U46" s="28">
        <f t="shared" si="8"/>
        <v>0</v>
      </c>
      <c r="V46" s="28">
        <f t="shared" si="8"/>
        <v>0</v>
      </c>
      <c r="W46" s="28">
        <f t="shared" si="8"/>
        <v>0</v>
      </c>
      <c r="X46" s="28">
        <f t="shared" si="8"/>
        <v>0</v>
      </c>
      <c r="Y46" s="28">
        <f t="shared" si="8"/>
        <v>0</v>
      </c>
      <c r="Z46" s="28">
        <f t="shared" si="8"/>
        <v>0</v>
      </c>
      <c r="AA46" s="28">
        <f t="shared" si="8"/>
        <v>0</v>
      </c>
      <c r="AB46" s="28">
        <f t="shared" si="8"/>
        <v>0</v>
      </c>
      <c r="AC46" s="28">
        <f t="shared" si="8"/>
        <v>650741.82999999996</v>
      </c>
    </row>
    <row r="47" spans="1:29">
      <c r="P47" s="29"/>
      <c r="AC47" s="29"/>
    </row>
    <row r="48" spans="1:29">
      <c r="A48" s="32" t="s">
        <v>93</v>
      </c>
      <c r="C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SUM(D48:O48)+C48</f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f>SUM(Q48:AB48)+P48</f>
        <v>0</v>
      </c>
    </row>
    <row r="49" spans="1:30">
      <c r="P49" s="29"/>
      <c r="AC49" s="29"/>
    </row>
    <row r="50" spans="1:30">
      <c r="A50" s="32" t="s">
        <v>66</v>
      </c>
      <c r="P50" s="29"/>
      <c r="AC50" s="29"/>
    </row>
    <row r="51" spans="1:30">
      <c r="A51" s="26" t="s">
        <v>67</v>
      </c>
      <c r="C51" s="28">
        <v>32500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f>SUM(D51:O51)+C51</f>
        <v>32500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f>SUM(Q51:AB51)+P51</f>
        <v>32500</v>
      </c>
    </row>
    <row r="52" spans="1:30">
      <c r="A52" s="26" t="s">
        <v>62</v>
      </c>
      <c r="C52" s="28">
        <v>1120</v>
      </c>
      <c r="P52" s="29">
        <f>SUM(D52:O52)+C52</f>
        <v>1120</v>
      </c>
      <c r="AC52" s="29">
        <f>SUM(Q52:AB52)+P52</f>
        <v>1120</v>
      </c>
    </row>
    <row r="53" spans="1:30">
      <c r="A53" s="32" t="s">
        <v>66</v>
      </c>
      <c r="C53" s="29">
        <f>SUM(C51:C52)</f>
        <v>33620</v>
      </c>
      <c r="D53" s="29">
        <f t="shared" ref="D53:AC53" si="9">SUM(D51:D52)</f>
        <v>0</v>
      </c>
      <c r="E53" s="29">
        <f t="shared" si="9"/>
        <v>0</v>
      </c>
      <c r="F53" s="29">
        <f t="shared" si="9"/>
        <v>0</v>
      </c>
      <c r="G53" s="29">
        <f t="shared" si="9"/>
        <v>0</v>
      </c>
      <c r="H53" s="29">
        <f t="shared" si="9"/>
        <v>0</v>
      </c>
      <c r="I53" s="29">
        <f t="shared" si="9"/>
        <v>0</v>
      </c>
      <c r="J53" s="29">
        <f t="shared" si="9"/>
        <v>0</v>
      </c>
      <c r="K53" s="29">
        <f t="shared" si="9"/>
        <v>0</v>
      </c>
      <c r="L53" s="29">
        <f t="shared" si="9"/>
        <v>0</v>
      </c>
      <c r="M53" s="29">
        <f t="shared" si="9"/>
        <v>0</v>
      </c>
      <c r="N53" s="29">
        <f t="shared" si="9"/>
        <v>0</v>
      </c>
      <c r="O53" s="29">
        <f t="shared" si="9"/>
        <v>0</v>
      </c>
      <c r="P53" s="29">
        <f t="shared" si="9"/>
        <v>33620</v>
      </c>
      <c r="Q53" s="29">
        <f t="shared" si="9"/>
        <v>0</v>
      </c>
      <c r="R53" s="29">
        <f t="shared" si="9"/>
        <v>0</v>
      </c>
      <c r="S53" s="29">
        <f t="shared" si="9"/>
        <v>0</v>
      </c>
      <c r="T53" s="29">
        <f t="shared" si="9"/>
        <v>0</v>
      </c>
      <c r="U53" s="29">
        <f t="shared" si="9"/>
        <v>0</v>
      </c>
      <c r="V53" s="29">
        <f t="shared" si="9"/>
        <v>0</v>
      </c>
      <c r="W53" s="29">
        <f t="shared" si="9"/>
        <v>0</v>
      </c>
      <c r="X53" s="29">
        <f t="shared" si="9"/>
        <v>0</v>
      </c>
      <c r="Y53" s="29">
        <f t="shared" si="9"/>
        <v>0</v>
      </c>
      <c r="Z53" s="29">
        <f t="shared" si="9"/>
        <v>0</v>
      </c>
      <c r="AA53" s="29">
        <f t="shared" si="9"/>
        <v>0</v>
      </c>
      <c r="AB53" s="29">
        <f t="shared" si="9"/>
        <v>0</v>
      </c>
      <c r="AC53" s="29">
        <f t="shared" si="9"/>
        <v>33620</v>
      </c>
    </row>
    <row r="54" spans="1:30">
      <c r="P54" s="29"/>
      <c r="AC54" s="29"/>
    </row>
    <row r="55" spans="1:30">
      <c r="A55" s="32" t="s">
        <v>68</v>
      </c>
      <c r="C55" s="28">
        <v>370459.85000000003</v>
      </c>
      <c r="I55" s="29">
        <v>0</v>
      </c>
      <c r="O55" s="29">
        <v>0</v>
      </c>
      <c r="P55" s="29">
        <f>SUM(D55:O55)+C55</f>
        <v>370459.85000000003</v>
      </c>
      <c r="V55" s="29">
        <v>0</v>
      </c>
      <c r="AB55" s="29">
        <v>0</v>
      </c>
      <c r="AC55" s="29">
        <f>SUM(Q55:AB55)+P55</f>
        <v>370459.85000000003</v>
      </c>
    </row>
    <row r="56" spans="1:30">
      <c r="P56" s="29"/>
      <c r="AC56" s="29"/>
    </row>
    <row r="57" spans="1:30">
      <c r="A57" s="27" t="s">
        <v>69</v>
      </c>
      <c r="C57" s="29">
        <f t="shared" ref="C57:AC57" si="10">C16+C33+C36+C38+C46+C48+C55+C53</f>
        <v>11585057.690000001</v>
      </c>
      <c r="D57" s="29">
        <f t="shared" si="10"/>
        <v>511706.09966666671</v>
      </c>
      <c r="E57" s="29">
        <f t="shared" si="10"/>
        <v>8641721.8666666653</v>
      </c>
      <c r="F57" s="29">
        <f t="shared" si="10"/>
        <v>1873821.8666666667</v>
      </c>
      <c r="G57" s="29">
        <f t="shared" si="10"/>
        <v>204155.2</v>
      </c>
      <c r="H57" s="29">
        <f t="shared" si="10"/>
        <v>6580</v>
      </c>
      <c r="I57" s="29">
        <f t="shared" si="10"/>
        <v>8080</v>
      </c>
      <c r="J57" s="29">
        <f t="shared" si="10"/>
        <v>56580</v>
      </c>
      <c r="K57" s="29">
        <f t="shared" si="10"/>
        <v>206580</v>
      </c>
      <c r="L57" s="29">
        <f t="shared" si="10"/>
        <v>158580</v>
      </c>
      <c r="M57" s="29">
        <f t="shared" si="10"/>
        <v>1141580</v>
      </c>
      <c r="N57" s="29">
        <f t="shared" si="10"/>
        <v>156580</v>
      </c>
      <c r="O57" s="29">
        <f t="shared" si="10"/>
        <v>158580</v>
      </c>
      <c r="P57" s="29">
        <f>P16+P33+P36+P38+P46+P48+P55+P53</f>
        <v>24709602.723000001</v>
      </c>
      <c r="Q57" s="29">
        <f t="shared" si="10"/>
        <v>0</v>
      </c>
      <c r="R57" s="29">
        <f t="shared" si="10"/>
        <v>0</v>
      </c>
      <c r="S57" s="29">
        <f t="shared" si="10"/>
        <v>0</v>
      </c>
      <c r="T57" s="29">
        <f t="shared" si="10"/>
        <v>0</v>
      </c>
      <c r="U57" s="29">
        <f t="shared" si="10"/>
        <v>0</v>
      </c>
      <c r="V57" s="29">
        <f t="shared" si="10"/>
        <v>0</v>
      </c>
      <c r="W57" s="29">
        <f t="shared" si="10"/>
        <v>0</v>
      </c>
      <c r="X57" s="29">
        <f t="shared" si="10"/>
        <v>0</v>
      </c>
      <c r="Y57" s="29">
        <f t="shared" si="10"/>
        <v>0</v>
      </c>
      <c r="Z57" s="29">
        <f t="shared" si="10"/>
        <v>0</v>
      </c>
      <c r="AA57" s="29">
        <f t="shared" si="10"/>
        <v>0</v>
      </c>
      <c r="AB57" s="29">
        <f t="shared" si="10"/>
        <v>0</v>
      </c>
      <c r="AC57" s="29">
        <f t="shared" si="10"/>
        <v>20160830.743000001</v>
      </c>
    </row>
    <row r="58" spans="1:30">
      <c r="A58" s="33"/>
      <c r="P58" s="29"/>
      <c r="AC58" s="29"/>
    </row>
    <row r="59" spans="1:30" ht="30" customHeight="1">
      <c r="A59" s="69" t="s">
        <v>105</v>
      </c>
      <c r="B59" s="70"/>
      <c r="C59" s="28">
        <v>1229280.68</v>
      </c>
      <c r="D59" s="64">
        <f>'AFUDC Forecast'!H71</f>
        <v>80536</v>
      </c>
      <c r="E59" s="64">
        <f>'AFUDC Forecast'!H72</f>
        <v>109233</v>
      </c>
      <c r="F59" s="64">
        <f>'AFUDC Forecast'!H73</f>
        <v>142304</v>
      </c>
      <c r="G59" s="64">
        <f>'AFUDC Forecast'!H74</f>
        <v>149583</v>
      </c>
      <c r="H59" s="64">
        <f>'AFUDC Forecast'!H75</f>
        <v>151154</v>
      </c>
      <c r="I59" s="64">
        <f>'AFUDC Forecast'!H76</f>
        <v>152130</v>
      </c>
      <c r="J59" s="64">
        <f>'AFUDC Forecast'!H77</f>
        <v>153267</v>
      </c>
      <c r="K59" s="64">
        <f>'AFUDC Forecast'!H78</f>
        <v>155022</v>
      </c>
      <c r="L59" s="64">
        <f>'AFUDC Forecast'!H79</f>
        <v>157103</v>
      </c>
      <c r="M59" s="64">
        <f>'AFUDC Forecast'!H80</f>
        <v>162076</v>
      </c>
      <c r="N59" s="64">
        <f>'AFUDC Forecast'!H81</f>
        <v>167074</v>
      </c>
      <c r="O59" s="64">
        <f>'AFUDC Forecast'!H82</f>
        <v>169075</v>
      </c>
      <c r="P59" s="34">
        <f>SUM(D59:O59)+C59</f>
        <v>2977837.6799999997</v>
      </c>
      <c r="Q59" s="34">
        <f>'AFUDC Forecast'!H83</f>
        <v>170605</v>
      </c>
      <c r="R59" s="34">
        <f>'AFUDC Forecast'!H84</f>
        <v>171657</v>
      </c>
      <c r="S59" s="34">
        <f>'AFUDC Forecast'!H85</f>
        <v>172214</v>
      </c>
      <c r="T59" s="34">
        <f>'AFUDC Forecast'!H86</f>
        <v>173775</v>
      </c>
      <c r="U59" s="34">
        <f>'AFUDC Forecast'!H87</f>
        <v>174846</v>
      </c>
      <c r="V59" s="34">
        <f>'AFUDC Forecast'!H88</f>
        <v>175124</v>
      </c>
      <c r="W59" s="34">
        <f>'AFUDC Forecast'!H89</f>
        <v>177003</v>
      </c>
      <c r="X59" s="34">
        <f>'AFUDC Forecast'!H90</f>
        <v>178093</v>
      </c>
      <c r="Y59" s="34">
        <f>'AFUDC Forecast'!H91</f>
        <v>179191</v>
      </c>
      <c r="Z59" s="34">
        <f>'AFUDC Forecast'!H92</f>
        <v>180295</v>
      </c>
      <c r="AA59" s="34">
        <f>'AFUDC Forecast'!H93</f>
        <v>180406</v>
      </c>
      <c r="AB59" s="34">
        <f>'AFUDC Forecast'!H94</f>
        <v>182517</v>
      </c>
      <c r="AC59" s="29">
        <f>SUM(Q59:AB59)+P59</f>
        <v>5093563.68</v>
      </c>
    </row>
    <row r="60" spans="1:30">
      <c r="P60" s="29"/>
      <c r="AC60" s="29"/>
    </row>
    <row r="61" spans="1:30" ht="18.75" thickBot="1">
      <c r="A61" s="27" t="s">
        <v>79</v>
      </c>
      <c r="C61" s="65">
        <f t="shared" ref="C61:AC61" si="11">C57+C59</f>
        <v>12814338.370000001</v>
      </c>
      <c r="D61" s="65">
        <f t="shared" si="11"/>
        <v>592242.09966666671</v>
      </c>
      <c r="E61" s="65">
        <f t="shared" si="11"/>
        <v>8750954.8666666653</v>
      </c>
      <c r="F61" s="65">
        <f t="shared" si="11"/>
        <v>2016125.8666666667</v>
      </c>
      <c r="G61" s="65">
        <f t="shared" si="11"/>
        <v>353738.2</v>
      </c>
      <c r="H61" s="65">
        <f t="shared" si="11"/>
        <v>157734</v>
      </c>
      <c r="I61" s="65">
        <f t="shared" si="11"/>
        <v>160210</v>
      </c>
      <c r="J61" s="65">
        <f t="shared" si="11"/>
        <v>209847</v>
      </c>
      <c r="K61" s="65">
        <f t="shared" si="11"/>
        <v>361602</v>
      </c>
      <c r="L61" s="65">
        <f t="shared" si="11"/>
        <v>315683</v>
      </c>
      <c r="M61" s="65">
        <f t="shared" si="11"/>
        <v>1303656</v>
      </c>
      <c r="N61" s="65">
        <f t="shared" si="11"/>
        <v>323654</v>
      </c>
      <c r="O61" s="65">
        <f t="shared" si="11"/>
        <v>327655</v>
      </c>
      <c r="P61" s="65">
        <f t="shared" si="11"/>
        <v>27687440.403000001</v>
      </c>
      <c r="Q61" s="65">
        <f t="shared" si="11"/>
        <v>170605</v>
      </c>
      <c r="R61" s="65">
        <f t="shared" si="11"/>
        <v>171657</v>
      </c>
      <c r="S61" s="65">
        <f t="shared" si="11"/>
        <v>172214</v>
      </c>
      <c r="T61" s="65">
        <f t="shared" si="11"/>
        <v>173775</v>
      </c>
      <c r="U61" s="65">
        <f t="shared" si="11"/>
        <v>174846</v>
      </c>
      <c r="V61" s="65">
        <f t="shared" si="11"/>
        <v>175124</v>
      </c>
      <c r="W61" s="65">
        <f t="shared" si="11"/>
        <v>177003</v>
      </c>
      <c r="X61" s="65">
        <f t="shared" si="11"/>
        <v>178093</v>
      </c>
      <c r="Y61" s="65">
        <f t="shared" si="11"/>
        <v>179191</v>
      </c>
      <c r="Z61" s="65">
        <f t="shared" si="11"/>
        <v>180295</v>
      </c>
      <c r="AA61" s="65">
        <f t="shared" si="11"/>
        <v>180406</v>
      </c>
      <c r="AB61" s="65">
        <f t="shared" si="11"/>
        <v>182517</v>
      </c>
      <c r="AC61" s="65">
        <f t="shared" si="11"/>
        <v>25254394.423</v>
      </c>
    </row>
    <row r="62" spans="1:30" ht="18.75" thickTop="1">
      <c r="P62" s="29"/>
      <c r="AC62" s="29"/>
    </row>
    <row r="63" spans="1:30">
      <c r="A63" s="27" t="s">
        <v>70</v>
      </c>
      <c r="C63" s="29">
        <f>C61</f>
        <v>12814338.370000001</v>
      </c>
      <c r="D63" s="29">
        <f>C63+D61</f>
        <v>13406580.469666667</v>
      </c>
      <c r="E63" s="29">
        <f>D63+E61</f>
        <v>22157535.336333334</v>
      </c>
      <c r="F63" s="29">
        <f t="shared" ref="F63:N63" si="12">E63+F61</f>
        <v>24173661.203000002</v>
      </c>
      <c r="G63" s="29">
        <f t="shared" si="12"/>
        <v>24527399.403000001</v>
      </c>
      <c r="H63" s="29">
        <f t="shared" si="12"/>
        <v>24685133.403000001</v>
      </c>
      <c r="I63" s="29">
        <f t="shared" si="12"/>
        <v>24845343.403000001</v>
      </c>
      <c r="J63" s="29">
        <f t="shared" si="12"/>
        <v>25055190.403000001</v>
      </c>
      <c r="K63" s="29">
        <f t="shared" si="12"/>
        <v>25416792.403000001</v>
      </c>
      <c r="L63" s="29">
        <f t="shared" si="12"/>
        <v>25732475.403000001</v>
      </c>
      <c r="M63" s="29">
        <f t="shared" si="12"/>
        <v>27036131.403000001</v>
      </c>
      <c r="N63" s="29">
        <f t="shared" si="12"/>
        <v>27359785.403000001</v>
      </c>
      <c r="O63" s="29">
        <f>N63+O61</f>
        <v>27687440.403000001</v>
      </c>
      <c r="P63" s="29">
        <f>P61</f>
        <v>27687440.403000001</v>
      </c>
      <c r="Q63" s="29">
        <f>P63+Q61</f>
        <v>27858045.403000001</v>
      </c>
      <c r="R63" s="29">
        <f t="shared" ref="R63:AA63" si="13">Q63+R61</f>
        <v>28029702.403000001</v>
      </c>
      <c r="S63" s="29">
        <f t="shared" si="13"/>
        <v>28201916.403000001</v>
      </c>
      <c r="T63" s="29">
        <f t="shared" si="13"/>
        <v>28375691.403000001</v>
      </c>
      <c r="U63" s="29">
        <f t="shared" si="13"/>
        <v>28550537.403000001</v>
      </c>
      <c r="V63" s="29">
        <f t="shared" si="13"/>
        <v>28725661.403000001</v>
      </c>
      <c r="W63" s="29">
        <f t="shared" si="13"/>
        <v>28902664.403000001</v>
      </c>
      <c r="X63" s="29">
        <f t="shared" si="13"/>
        <v>29080757.403000001</v>
      </c>
      <c r="Y63" s="29">
        <f t="shared" si="13"/>
        <v>29259948.403000001</v>
      </c>
      <c r="Z63" s="29">
        <f t="shared" si="13"/>
        <v>29440243.403000001</v>
      </c>
      <c r="AA63" s="29">
        <f t="shared" si="13"/>
        <v>29620649.403000001</v>
      </c>
      <c r="AB63" s="29">
        <f>AA63+AB61</f>
        <v>29803166.403000001</v>
      </c>
      <c r="AC63" s="66">
        <f>SUM(P63:AB63)/13</f>
        <v>28733571.095307693</v>
      </c>
      <c r="AD63" s="29" t="s">
        <v>89</v>
      </c>
    </row>
    <row r="64" spans="1:30">
      <c r="B64" s="31"/>
      <c r="P64" s="29"/>
      <c r="AC64" s="29"/>
    </row>
    <row r="65" spans="14:29">
      <c r="P65" s="29"/>
      <c r="AA65" s="67"/>
      <c r="AC65" s="29"/>
    </row>
    <row r="66" spans="14:29">
      <c r="N66" s="67"/>
      <c r="P66" s="29"/>
      <c r="AA66" s="67"/>
      <c r="AC66" s="29"/>
    </row>
    <row r="67" spans="14:29">
      <c r="P67" s="29"/>
      <c r="AC67" s="29"/>
    </row>
    <row r="68" spans="14:29">
      <c r="P68" s="29"/>
      <c r="AC68" s="29"/>
    </row>
    <row r="69" spans="14:29">
      <c r="P69" s="29"/>
      <c r="AC69" s="29"/>
    </row>
    <row r="70" spans="14:29">
      <c r="P70" s="29"/>
      <c r="AC70" s="29"/>
    </row>
    <row r="71" spans="14:29">
      <c r="P71" s="29"/>
      <c r="AC71" s="29"/>
    </row>
  </sheetData>
  <mergeCells count="2">
    <mergeCell ref="A1:K2"/>
    <mergeCell ref="A59:B59"/>
  </mergeCells>
  <phoneticPr fontId="0" type="noConversion"/>
  <pageMargins left="0.75" right="0.75" top="1" bottom="1" header="0.5" footer="0.5"/>
  <pageSetup scale="50" firstPageNumber="3" orientation="landscape" useFirstPageNumber="1" r:id="rId1"/>
  <headerFooter alignWithMargins="0">
    <oddFooter>&amp;L110138-STAFF-POD-18-&amp;P</oddFoot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S209"/>
  <sheetViews>
    <sheetView view="pageLayout" topLeftCell="A46" zoomScaleNormal="75" workbookViewId="0">
      <selection activeCell="F41" sqref="F41"/>
    </sheetView>
  </sheetViews>
  <sheetFormatPr defaultRowHeight="12.75"/>
  <cols>
    <col min="1" max="1" width="11.28515625" style="1" bestFit="1" customWidth="1"/>
    <col min="2" max="2" width="5.28515625" style="1" customWidth="1"/>
    <col min="3" max="4" width="11.28515625" style="1" customWidth="1"/>
    <col min="5" max="5" width="11.85546875" style="1" bestFit="1" customWidth="1"/>
    <col min="6" max="6" width="12.42578125" style="2" bestFit="1" customWidth="1"/>
    <col min="7" max="7" width="12.7109375" style="1" bestFit="1" customWidth="1"/>
    <col min="8" max="8" width="11.5703125" style="2" bestFit="1" customWidth="1"/>
    <col min="9" max="9" width="12.28515625" style="2" customWidth="1"/>
    <col min="10" max="10" width="11.28515625" style="2" bestFit="1" customWidth="1"/>
    <col min="11" max="11" width="11.42578125" style="2" bestFit="1" customWidth="1"/>
    <col min="12" max="12" width="10.42578125" style="1" customWidth="1"/>
    <col min="13" max="13" width="11.28515625" style="1" customWidth="1"/>
    <col min="14" max="14" width="9.140625" style="1"/>
    <col min="15" max="19" width="15.7109375" style="1" customWidth="1"/>
    <col min="20" max="16384" width="9.140625" style="1"/>
  </cols>
  <sheetData>
    <row r="1" spans="1:19">
      <c r="A1" s="1" t="s">
        <v>40</v>
      </c>
      <c r="E1" s="1">
        <v>1000000</v>
      </c>
      <c r="O1" s="1" t="s">
        <v>19</v>
      </c>
      <c r="P1" s="1" t="s">
        <v>20</v>
      </c>
      <c r="Q1" s="1" t="s">
        <v>20</v>
      </c>
    </row>
    <row r="2" spans="1:19">
      <c r="A2" s="3">
        <f>'[3]1222'!A2</f>
        <v>7.6499999999999999E-2</v>
      </c>
      <c r="C2" s="4" t="s">
        <v>21</v>
      </c>
      <c r="D2" s="4"/>
      <c r="E2" s="4"/>
      <c r="F2" s="5" t="s">
        <v>22</v>
      </c>
      <c r="G2" s="4"/>
      <c r="H2" s="5"/>
      <c r="I2" s="5" t="s">
        <v>23</v>
      </c>
      <c r="J2" s="5" t="s">
        <v>22</v>
      </c>
      <c r="K2" s="5" t="s">
        <v>22</v>
      </c>
      <c r="L2" s="4" t="s">
        <v>24</v>
      </c>
      <c r="M2" s="4" t="s">
        <v>24</v>
      </c>
      <c r="O2" s="1" t="s">
        <v>25</v>
      </c>
      <c r="P2" s="1" t="s">
        <v>25</v>
      </c>
      <c r="Q2" s="1" t="s">
        <v>26</v>
      </c>
    </row>
    <row r="3" spans="1:19">
      <c r="C3" s="4" t="s">
        <v>27</v>
      </c>
      <c r="D3" s="4" t="s">
        <v>24</v>
      </c>
      <c r="E3" s="4" t="s">
        <v>28</v>
      </c>
      <c r="F3" s="5" t="s">
        <v>29</v>
      </c>
      <c r="G3" s="4" t="s">
        <v>30</v>
      </c>
      <c r="H3" s="5" t="s">
        <v>31</v>
      </c>
      <c r="I3" s="5" t="s">
        <v>27</v>
      </c>
      <c r="J3" s="5" t="s">
        <v>32</v>
      </c>
      <c r="K3" s="5" t="s">
        <v>33</v>
      </c>
      <c r="L3" s="4" t="s">
        <v>33</v>
      </c>
      <c r="M3" s="4" t="s">
        <v>32</v>
      </c>
      <c r="R3" s="1" t="s">
        <v>24</v>
      </c>
      <c r="S3" s="1" t="s">
        <v>34</v>
      </c>
    </row>
    <row r="5" spans="1:19">
      <c r="B5" s="6" t="s">
        <v>35</v>
      </c>
      <c r="C5" s="7">
        <f>+I4</f>
        <v>0</v>
      </c>
      <c r="D5" s="7">
        <v>0</v>
      </c>
      <c r="E5" s="1">
        <v>0</v>
      </c>
      <c r="F5" s="2">
        <f t="shared" ref="F5:F36" si="0">(D5+(C5*2))*0.5</f>
        <v>0</v>
      </c>
      <c r="G5" s="8">
        <v>6.0293200000000003E-3</v>
      </c>
      <c r="H5" s="2">
        <f t="shared" ref="H5:H10" si="1">+F5*G5</f>
        <v>0</v>
      </c>
      <c r="I5" s="2">
        <f t="shared" ref="I5:I36" si="2">+C5+D5+H5-E5</f>
        <v>0</v>
      </c>
      <c r="J5" s="2">
        <f>+H5+J4</f>
        <v>0</v>
      </c>
    </row>
    <row r="6" spans="1:19">
      <c r="B6" s="6" t="s">
        <v>14</v>
      </c>
      <c r="C6" s="7">
        <f>+I5</f>
        <v>0</v>
      </c>
      <c r="D6" s="7">
        <v>0</v>
      </c>
      <c r="E6" s="1">
        <v>0</v>
      </c>
      <c r="F6" s="2">
        <f t="shared" si="0"/>
        <v>0</v>
      </c>
      <c r="G6" s="8">
        <v>6.0293200000000003E-3</v>
      </c>
      <c r="H6" s="2">
        <f t="shared" si="1"/>
        <v>0</v>
      </c>
      <c r="I6" s="2">
        <f t="shared" si="2"/>
        <v>0</v>
      </c>
      <c r="J6" s="2">
        <f>+H6+J5</f>
        <v>0</v>
      </c>
    </row>
    <row r="7" spans="1:19">
      <c r="B7" s="6" t="s">
        <v>36</v>
      </c>
      <c r="C7" s="7">
        <f>+I6</f>
        <v>0</v>
      </c>
      <c r="D7" s="7">
        <v>0</v>
      </c>
      <c r="E7" s="1">
        <v>0</v>
      </c>
      <c r="F7" s="2">
        <f t="shared" si="0"/>
        <v>0</v>
      </c>
      <c r="G7" s="8">
        <v>6.0293200000000003E-3</v>
      </c>
      <c r="H7" s="2">
        <f t="shared" si="1"/>
        <v>0</v>
      </c>
      <c r="I7" s="2">
        <f t="shared" si="2"/>
        <v>0</v>
      </c>
      <c r="J7" s="2">
        <f>+H7+J6</f>
        <v>0</v>
      </c>
    </row>
    <row r="8" spans="1:19">
      <c r="B8" s="6" t="s">
        <v>16</v>
      </c>
      <c r="C8" s="7">
        <f>+I7</f>
        <v>0</v>
      </c>
      <c r="D8" s="7">
        <v>0</v>
      </c>
      <c r="E8" s="1">
        <v>0</v>
      </c>
      <c r="F8" s="2">
        <f t="shared" si="0"/>
        <v>0</v>
      </c>
      <c r="G8" s="8">
        <v>6.0293200000000003E-3</v>
      </c>
      <c r="H8" s="2">
        <f t="shared" si="1"/>
        <v>0</v>
      </c>
      <c r="I8" s="2">
        <f t="shared" si="2"/>
        <v>0</v>
      </c>
      <c r="J8" s="2">
        <f>+H8+J7</f>
        <v>0</v>
      </c>
    </row>
    <row r="9" spans="1:19">
      <c r="B9" s="6" t="s">
        <v>17</v>
      </c>
      <c r="C9" s="7">
        <v>0</v>
      </c>
      <c r="D9" s="7">
        <v>0</v>
      </c>
      <c r="E9" s="7">
        <v>0</v>
      </c>
      <c r="F9" s="2">
        <f t="shared" si="0"/>
        <v>0</v>
      </c>
      <c r="G9" s="8">
        <v>6.0293200000000003E-3</v>
      </c>
      <c r="H9" s="2">
        <f t="shared" si="1"/>
        <v>0</v>
      </c>
      <c r="I9" s="2">
        <f t="shared" si="2"/>
        <v>0</v>
      </c>
      <c r="J9" s="2">
        <f>+H9+J8</f>
        <v>0</v>
      </c>
    </row>
    <row r="10" spans="1:19">
      <c r="B10" s="6" t="s">
        <v>18</v>
      </c>
      <c r="C10" s="7">
        <f t="shared" ref="C10:C41" si="3">+I9</f>
        <v>0</v>
      </c>
      <c r="D10" s="7">
        <v>0</v>
      </c>
      <c r="E10" s="7">
        <v>0</v>
      </c>
      <c r="F10" s="2">
        <f t="shared" si="0"/>
        <v>0</v>
      </c>
      <c r="G10" s="8">
        <v>6.0293200000000003E-3</v>
      </c>
      <c r="H10" s="2">
        <f t="shared" si="1"/>
        <v>0</v>
      </c>
      <c r="I10" s="2">
        <f t="shared" si="2"/>
        <v>0</v>
      </c>
      <c r="J10" s="9">
        <v>0</v>
      </c>
      <c r="K10" s="2">
        <v>0</v>
      </c>
      <c r="L10" s="1">
        <v>0</v>
      </c>
      <c r="M10" s="1">
        <v>0</v>
      </c>
    </row>
    <row r="11" spans="1:19">
      <c r="A11" s="1">
        <v>2006</v>
      </c>
      <c r="B11" s="6" t="s">
        <v>7</v>
      </c>
      <c r="C11" s="7">
        <f t="shared" si="3"/>
        <v>0</v>
      </c>
      <c r="D11" s="7">
        <v>0</v>
      </c>
      <c r="E11" s="7">
        <v>0</v>
      </c>
      <c r="F11" s="2">
        <f t="shared" si="0"/>
        <v>0</v>
      </c>
      <c r="G11" s="8">
        <v>6.0293200000000003E-3</v>
      </c>
      <c r="H11" s="2">
        <f t="shared" ref="H11:H38" si="4">ROUND(+F11*G11,0)</f>
        <v>0</v>
      </c>
      <c r="I11" s="2">
        <f t="shared" si="2"/>
        <v>0</v>
      </c>
      <c r="J11" s="2">
        <f t="shared" ref="J11:J42" si="5">+H11+J10</f>
        <v>0</v>
      </c>
      <c r="M11" s="7">
        <f t="shared" ref="M11:M22" si="6">+M10+D11</f>
        <v>0</v>
      </c>
      <c r="R11" s="7">
        <f t="shared" ref="R11:R42" si="7">+D11+H11</f>
        <v>0</v>
      </c>
      <c r="S11" s="7">
        <f t="shared" ref="S11:S42" si="8">+E11</f>
        <v>0</v>
      </c>
    </row>
    <row r="12" spans="1:19">
      <c r="B12" s="6" t="s">
        <v>8</v>
      </c>
      <c r="C12" s="7">
        <f t="shared" si="3"/>
        <v>0</v>
      </c>
      <c r="D12" s="7">
        <v>0</v>
      </c>
      <c r="E12" s="7">
        <v>0</v>
      </c>
      <c r="F12" s="2">
        <f t="shared" si="0"/>
        <v>0</v>
      </c>
      <c r="G12" s="8">
        <v>6.0293200000000003E-3</v>
      </c>
      <c r="H12" s="2">
        <f t="shared" si="4"/>
        <v>0</v>
      </c>
      <c r="I12" s="2">
        <f t="shared" si="2"/>
        <v>0</v>
      </c>
      <c r="J12" s="2">
        <f t="shared" si="5"/>
        <v>0</v>
      </c>
      <c r="M12" s="7">
        <f t="shared" si="6"/>
        <v>0</v>
      </c>
      <c r="R12" s="7">
        <f t="shared" si="7"/>
        <v>0</v>
      </c>
      <c r="S12" s="7">
        <f t="shared" si="8"/>
        <v>0</v>
      </c>
    </row>
    <row r="13" spans="1:19">
      <c r="A13" s="7"/>
      <c r="B13" s="6" t="s">
        <v>9</v>
      </c>
      <c r="C13" s="7">
        <f t="shared" si="3"/>
        <v>0</v>
      </c>
      <c r="D13" s="7">
        <v>0</v>
      </c>
      <c r="E13" s="7">
        <v>0</v>
      </c>
      <c r="F13" s="2">
        <f t="shared" si="0"/>
        <v>0</v>
      </c>
      <c r="G13" s="8">
        <v>6.0293200000000003E-3</v>
      </c>
      <c r="H13" s="2">
        <f t="shared" si="4"/>
        <v>0</v>
      </c>
      <c r="I13" s="2">
        <f t="shared" si="2"/>
        <v>0</v>
      </c>
      <c r="J13" s="2">
        <f t="shared" si="5"/>
        <v>0</v>
      </c>
      <c r="M13" s="7">
        <f t="shared" si="6"/>
        <v>0</v>
      </c>
      <c r="R13" s="7">
        <f t="shared" si="7"/>
        <v>0</v>
      </c>
      <c r="S13" s="7">
        <f t="shared" si="8"/>
        <v>0</v>
      </c>
    </row>
    <row r="14" spans="1:19">
      <c r="B14" s="6" t="s">
        <v>10</v>
      </c>
      <c r="C14" s="7">
        <f t="shared" si="3"/>
        <v>0</v>
      </c>
      <c r="D14" s="7">
        <v>0</v>
      </c>
      <c r="E14" s="7">
        <v>0</v>
      </c>
      <c r="F14" s="2">
        <f t="shared" si="0"/>
        <v>0</v>
      </c>
      <c r="G14" s="8">
        <v>6.0293200000000003E-3</v>
      </c>
      <c r="H14" s="2">
        <f t="shared" si="4"/>
        <v>0</v>
      </c>
      <c r="I14" s="2">
        <f t="shared" si="2"/>
        <v>0</v>
      </c>
      <c r="J14" s="2">
        <f t="shared" si="5"/>
        <v>0</v>
      </c>
      <c r="M14" s="7">
        <f t="shared" si="6"/>
        <v>0</v>
      </c>
      <c r="R14" s="7">
        <f t="shared" si="7"/>
        <v>0</v>
      </c>
      <c r="S14" s="7">
        <f t="shared" si="8"/>
        <v>0</v>
      </c>
    </row>
    <row r="15" spans="1:19">
      <c r="B15" s="6" t="s">
        <v>11</v>
      </c>
      <c r="C15" s="7">
        <f t="shared" si="3"/>
        <v>0</v>
      </c>
      <c r="D15" s="7">
        <v>0</v>
      </c>
      <c r="E15" s="7">
        <v>0</v>
      </c>
      <c r="F15" s="2">
        <f t="shared" si="0"/>
        <v>0</v>
      </c>
      <c r="G15" s="8">
        <v>6.0293200000000003E-3</v>
      </c>
      <c r="H15" s="2">
        <f t="shared" si="4"/>
        <v>0</v>
      </c>
      <c r="I15" s="2">
        <f t="shared" si="2"/>
        <v>0</v>
      </c>
      <c r="J15" s="2">
        <f t="shared" si="5"/>
        <v>0</v>
      </c>
      <c r="M15" s="7">
        <f t="shared" si="6"/>
        <v>0</v>
      </c>
      <c r="R15" s="7">
        <f t="shared" si="7"/>
        <v>0</v>
      </c>
      <c r="S15" s="7">
        <f t="shared" si="8"/>
        <v>0</v>
      </c>
    </row>
    <row r="16" spans="1:19">
      <c r="B16" s="6" t="s">
        <v>37</v>
      </c>
      <c r="C16" s="7">
        <f t="shared" si="3"/>
        <v>0</v>
      </c>
      <c r="D16" s="7">
        <v>0</v>
      </c>
      <c r="E16" s="7">
        <v>0</v>
      </c>
      <c r="F16" s="2">
        <f t="shared" si="0"/>
        <v>0</v>
      </c>
      <c r="G16" s="8">
        <v>6.0293200000000003E-3</v>
      </c>
      <c r="H16" s="2">
        <f t="shared" si="4"/>
        <v>0</v>
      </c>
      <c r="I16" s="2">
        <f t="shared" si="2"/>
        <v>0</v>
      </c>
      <c r="J16" s="2">
        <f t="shared" si="5"/>
        <v>0</v>
      </c>
      <c r="M16" s="7">
        <f t="shared" si="6"/>
        <v>0</v>
      </c>
      <c r="R16" s="7">
        <f t="shared" si="7"/>
        <v>0</v>
      </c>
      <c r="S16" s="7">
        <f t="shared" si="8"/>
        <v>0</v>
      </c>
    </row>
    <row r="17" spans="1:19">
      <c r="B17" s="6" t="s">
        <v>38</v>
      </c>
      <c r="C17" s="7">
        <f t="shared" si="3"/>
        <v>0</v>
      </c>
      <c r="D17" s="7">
        <v>0</v>
      </c>
      <c r="E17" s="7">
        <v>0</v>
      </c>
      <c r="F17" s="2">
        <f t="shared" si="0"/>
        <v>0</v>
      </c>
      <c r="G17" s="8">
        <v>6.0293200000000003E-3</v>
      </c>
      <c r="H17" s="2">
        <f t="shared" si="4"/>
        <v>0</v>
      </c>
      <c r="I17" s="2">
        <f t="shared" si="2"/>
        <v>0</v>
      </c>
      <c r="J17" s="2">
        <f t="shared" si="5"/>
        <v>0</v>
      </c>
      <c r="M17" s="7">
        <f t="shared" si="6"/>
        <v>0</v>
      </c>
      <c r="R17" s="7">
        <f t="shared" si="7"/>
        <v>0</v>
      </c>
      <c r="S17" s="7">
        <f t="shared" si="8"/>
        <v>0</v>
      </c>
    </row>
    <row r="18" spans="1:19">
      <c r="B18" s="6" t="s">
        <v>14</v>
      </c>
      <c r="C18" s="7">
        <f t="shared" si="3"/>
        <v>0</v>
      </c>
      <c r="D18" s="7">
        <v>0</v>
      </c>
      <c r="E18" s="7">
        <v>0</v>
      </c>
      <c r="F18" s="2">
        <f t="shared" si="0"/>
        <v>0</v>
      </c>
      <c r="G18" s="8">
        <v>6.0293200000000003E-3</v>
      </c>
      <c r="H18" s="2">
        <f t="shared" si="4"/>
        <v>0</v>
      </c>
      <c r="I18" s="2">
        <f t="shared" si="2"/>
        <v>0</v>
      </c>
      <c r="J18" s="2">
        <f t="shared" si="5"/>
        <v>0</v>
      </c>
      <c r="M18" s="7">
        <f t="shared" si="6"/>
        <v>0</v>
      </c>
      <c r="R18" s="7">
        <f t="shared" si="7"/>
        <v>0</v>
      </c>
      <c r="S18" s="7">
        <f t="shared" si="8"/>
        <v>0</v>
      </c>
    </row>
    <row r="19" spans="1:19">
      <c r="B19" s="6" t="s">
        <v>36</v>
      </c>
      <c r="C19" s="7">
        <f t="shared" si="3"/>
        <v>0</v>
      </c>
      <c r="D19" s="7">
        <v>0</v>
      </c>
      <c r="E19" s="7">
        <v>0</v>
      </c>
      <c r="F19" s="2">
        <f t="shared" si="0"/>
        <v>0</v>
      </c>
      <c r="G19" s="10">
        <v>6.0293200000000003E-3</v>
      </c>
      <c r="H19" s="2">
        <f t="shared" si="4"/>
        <v>0</v>
      </c>
      <c r="I19" s="2">
        <f t="shared" si="2"/>
        <v>0</v>
      </c>
      <c r="J19" s="2">
        <f t="shared" si="5"/>
        <v>0</v>
      </c>
      <c r="M19" s="7">
        <f t="shared" si="6"/>
        <v>0</v>
      </c>
      <c r="R19" s="7">
        <f t="shared" si="7"/>
        <v>0</v>
      </c>
      <c r="S19" s="7">
        <f t="shared" si="8"/>
        <v>0</v>
      </c>
    </row>
    <row r="20" spans="1:19">
      <c r="B20" s="6" t="s">
        <v>16</v>
      </c>
      <c r="C20" s="7">
        <f t="shared" si="3"/>
        <v>0</v>
      </c>
      <c r="D20" s="7">
        <v>0</v>
      </c>
      <c r="E20" s="7">
        <v>0</v>
      </c>
      <c r="F20" s="2">
        <f t="shared" si="0"/>
        <v>0</v>
      </c>
      <c r="G20" s="10">
        <v>6.0293200000000003E-3</v>
      </c>
      <c r="H20" s="2">
        <f t="shared" si="4"/>
        <v>0</v>
      </c>
      <c r="I20" s="2">
        <f t="shared" si="2"/>
        <v>0</v>
      </c>
      <c r="J20" s="2">
        <f t="shared" si="5"/>
        <v>0</v>
      </c>
      <c r="M20" s="7">
        <f t="shared" si="6"/>
        <v>0</v>
      </c>
      <c r="R20" s="7">
        <f t="shared" si="7"/>
        <v>0</v>
      </c>
      <c r="S20" s="7">
        <f t="shared" si="8"/>
        <v>0</v>
      </c>
    </row>
    <row r="21" spans="1:19">
      <c r="B21" s="6" t="s">
        <v>17</v>
      </c>
      <c r="C21" s="7">
        <f t="shared" si="3"/>
        <v>0</v>
      </c>
      <c r="D21" s="7">
        <v>0</v>
      </c>
      <c r="E21" s="7">
        <v>0</v>
      </c>
      <c r="F21" s="2">
        <f t="shared" si="0"/>
        <v>0</v>
      </c>
      <c r="G21" s="10">
        <v>6.0293200000000003E-3</v>
      </c>
      <c r="H21" s="2">
        <f t="shared" si="4"/>
        <v>0</v>
      </c>
      <c r="I21" s="2">
        <f t="shared" si="2"/>
        <v>0</v>
      </c>
      <c r="J21" s="2">
        <f t="shared" si="5"/>
        <v>0</v>
      </c>
      <c r="M21" s="7">
        <f t="shared" si="6"/>
        <v>0</v>
      </c>
      <c r="R21" s="7">
        <f t="shared" si="7"/>
        <v>0</v>
      </c>
      <c r="S21" s="7">
        <f t="shared" si="8"/>
        <v>0</v>
      </c>
    </row>
    <row r="22" spans="1:19">
      <c r="B22" s="6" t="s">
        <v>18</v>
      </c>
      <c r="C22" s="7">
        <f t="shared" si="3"/>
        <v>0</v>
      </c>
      <c r="D22" s="7"/>
      <c r="E22" s="7">
        <v>0</v>
      </c>
      <c r="F22" s="2">
        <f t="shared" si="0"/>
        <v>0</v>
      </c>
      <c r="G22" s="10">
        <v>6.0293200000000003E-3</v>
      </c>
      <c r="H22" s="2">
        <f t="shared" si="4"/>
        <v>0</v>
      </c>
      <c r="I22" s="2">
        <f t="shared" si="2"/>
        <v>0</v>
      </c>
      <c r="J22" s="2">
        <f t="shared" si="5"/>
        <v>0</v>
      </c>
      <c r="K22" s="2">
        <f>SUM(H11:H22)</f>
        <v>0</v>
      </c>
      <c r="L22" s="7">
        <f>SUM(D11:D22)</f>
        <v>0</v>
      </c>
      <c r="M22" s="7">
        <f t="shared" si="6"/>
        <v>0</v>
      </c>
      <c r="O22" s="7">
        <f>SUM(D11:D22)</f>
        <v>0</v>
      </c>
      <c r="P22" s="7">
        <f>SUM(R11:R22)</f>
        <v>0</v>
      </c>
      <c r="Q22" s="7">
        <f>SUM(E11:E22)</f>
        <v>0</v>
      </c>
      <c r="R22" s="7">
        <f t="shared" si="7"/>
        <v>0</v>
      </c>
      <c r="S22" s="7">
        <f t="shared" si="8"/>
        <v>0</v>
      </c>
    </row>
    <row r="23" spans="1:19">
      <c r="A23" s="1">
        <f>A11+1</f>
        <v>2007</v>
      </c>
      <c r="B23" s="6" t="s">
        <v>7</v>
      </c>
      <c r="C23" s="7">
        <f t="shared" si="3"/>
        <v>0</v>
      </c>
      <c r="D23" s="7"/>
      <c r="E23" s="7">
        <v>0</v>
      </c>
      <c r="F23" s="2">
        <f t="shared" si="0"/>
        <v>0</v>
      </c>
      <c r="G23" s="10">
        <v>6.0293200000000003E-3</v>
      </c>
      <c r="H23" s="2">
        <f t="shared" si="4"/>
        <v>0</v>
      </c>
      <c r="I23" s="2">
        <f t="shared" si="2"/>
        <v>0</v>
      </c>
      <c r="J23" s="2">
        <f t="shared" si="5"/>
        <v>0</v>
      </c>
      <c r="L23" s="11"/>
      <c r="M23" s="7"/>
      <c r="R23" s="7">
        <f t="shared" si="7"/>
        <v>0</v>
      </c>
      <c r="S23" s="7">
        <f t="shared" si="8"/>
        <v>0</v>
      </c>
    </row>
    <row r="24" spans="1:19">
      <c r="B24" s="6" t="s">
        <v>8</v>
      </c>
      <c r="C24" s="7">
        <f t="shared" si="3"/>
        <v>0</v>
      </c>
      <c r="D24" s="7"/>
      <c r="E24" s="7">
        <v>0</v>
      </c>
      <c r="F24" s="2">
        <f t="shared" si="0"/>
        <v>0</v>
      </c>
      <c r="G24" s="10">
        <v>6.0293200000000003E-3</v>
      </c>
      <c r="H24" s="2">
        <f t="shared" si="4"/>
        <v>0</v>
      </c>
      <c r="I24" s="2">
        <f t="shared" si="2"/>
        <v>0</v>
      </c>
      <c r="J24" s="2">
        <f t="shared" si="5"/>
        <v>0</v>
      </c>
      <c r="L24" s="11"/>
      <c r="M24" s="7"/>
      <c r="R24" s="7">
        <f t="shared" si="7"/>
        <v>0</v>
      </c>
      <c r="S24" s="7">
        <f t="shared" si="8"/>
        <v>0</v>
      </c>
    </row>
    <row r="25" spans="1:19">
      <c r="B25" s="6" t="s">
        <v>9</v>
      </c>
      <c r="C25" s="7">
        <f t="shared" si="3"/>
        <v>0</v>
      </c>
      <c r="D25" s="7"/>
      <c r="E25" s="7">
        <v>0</v>
      </c>
      <c r="F25" s="2">
        <f t="shared" si="0"/>
        <v>0</v>
      </c>
      <c r="G25" s="10">
        <v>6.0293200000000003E-3</v>
      </c>
      <c r="H25" s="2">
        <f t="shared" si="4"/>
        <v>0</v>
      </c>
      <c r="I25" s="2">
        <f t="shared" si="2"/>
        <v>0</v>
      </c>
      <c r="J25" s="2">
        <f t="shared" si="5"/>
        <v>0</v>
      </c>
      <c r="L25" s="11"/>
      <c r="M25" s="7"/>
      <c r="R25" s="7">
        <f t="shared" si="7"/>
        <v>0</v>
      </c>
      <c r="S25" s="7">
        <f t="shared" si="8"/>
        <v>0</v>
      </c>
    </row>
    <row r="26" spans="1:19" ht="13.5" thickBot="1">
      <c r="B26" s="6" t="s">
        <v>10</v>
      </c>
      <c r="C26" s="7">
        <f t="shared" si="3"/>
        <v>0</v>
      </c>
      <c r="D26" s="7"/>
      <c r="E26" s="7">
        <v>0</v>
      </c>
      <c r="F26" s="2">
        <f t="shared" si="0"/>
        <v>0</v>
      </c>
      <c r="G26" s="10">
        <v>6.0293200000000003E-3</v>
      </c>
      <c r="H26" s="2">
        <f t="shared" si="4"/>
        <v>0</v>
      </c>
      <c r="I26" s="2">
        <f t="shared" si="2"/>
        <v>0</v>
      </c>
      <c r="J26" s="2">
        <f t="shared" si="5"/>
        <v>0</v>
      </c>
      <c r="L26" s="11"/>
      <c r="M26" s="7"/>
      <c r="R26" s="7">
        <f t="shared" si="7"/>
        <v>0</v>
      </c>
      <c r="S26" s="7">
        <f t="shared" si="8"/>
        <v>0</v>
      </c>
    </row>
    <row r="27" spans="1:19">
      <c r="A27" s="12"/>
      <c r="B27" s="13" t="s">
        <v>11</v>
      </c>
      <c r="C27" s="7">
        <f t="shared" si="3"/>
        <v>0</v>
      </c>
      <c r="D27" s="54"/>
      <c r="E27" s="7">
        <v>0</v>
      </c>
      <c r="F27" s="2">
        <f t="shared" si="0"/>
        <v>0</v>
      </c>
      <c r="G27" s="10">
        <v>6.0293200000000003E-3</v>
      </c>
      <c r="H27" s="2">
        <f t="shared" si="4"/>
        <v>0</v>
      </c>
      <c r="I27" s="2">
        <f t="shared" si="2"/>
        <v>0</v>
      </c>
      <c r="J27" s="2">
        <f t="shared" si="5"/>
        <v>0</v>
      </c>
      <c r="L27" s="7"/>
      <c r="M27" s="7"/>
      <c r="R27" s="7">
        <f t="shared" si="7"/>
        <v>0</v>
      </c>
      <c r="S27" s="7">
        <f t="shared" si="8"/>
        <v>0</v>
      </c>
    </row>
    <row r="28" spans="1:19">
      <c r="A28" s="14"/>
      <c r="B28" s="13" t="s">
        <v>37</v>
      </c>
      <c r="C28" s="7">
        <f t="shared" si="3"/>
        <v>0</v>
      </c>
      <c r="D28" s="54"/>
      <c r="E28" s="7">
        <v>0</v>
      </c>
      <c r="F28" s="2">
        <f t="shared" si="0"/>
        <v>0</v>
      </c>
      <c r="G28" s="10">
        <v>6.0293200000000003E-3</v>
      </c>
      <c r="H28" s="2">
        <f t="shared" si="4"/>
        <v>0</v>
      </c>
      <c r="I28" s="2">
        <f t="shared" si="2"/>
        <v>0</v>
      </c>
      <c r="J28" s="2">
        <f t="shared" si="5"/>
        <v>0</v>
      </c>
      <c r="L28" s="11"/>
      <c r="M28" s="7"/>
      <c r="R28" s="7">
        <f t="shared" si="7"/>
        <v>0</v>
      </c>
      <c r="S28" s="7">
        <f t="shared" si="8"/>
        <v>0</v>
      </c>
    </row>
    <row r="29" spans="1:19">
      <c r="A29" s="14"/>
      <c r="B29" s="13" t="s">
        <v>38</v>
      </c>
      <c r="C29" s="7">
        <f t="shared" si="3"/>
        <v>0</v>
      </c>
      <c r="D29" s="7"/>
      <c r="E29" s="7">
        <v>0</v>
      </c>
      <c r="F29" s="2">
        <f t="shared" si="0"/>
        <v>0</v>
      </c>
      <c r="G29" s="10">
        <v>6.0293200000000003E-3</v>
      </c>
      <c r="H29" s="2">
        <f t="shared" si="4"/>
        <v>0</v>
      </c>
      <c r="I29" s="2">
        <f t="shared" si="2"/>
        <v>0</v>
      </c>
      <c r="J29" s="2">
        <f t="shared" si="5"/>
        <v>0</v>
      </c>
      <c r="L29" s="11"/>
      <c r="M29" s="7"/>
      <c r="R29" s="7">
        <f t="shared" si="7"/>
        <v>0</v>
      </c>
      <c r="S29" s="7">
        <f t="shared" si="8"/>
        <v>0</v>
      </c>
    </row>
    <row r="30" spans="1:19">
      <c r="A30" s="15"/>
      <c r="B30" s="13" t="s">
        <v>14</v>
      </c>
      <c r="C30" s="7">
        <f t="shared" si="3"/>
        <v>0</v>
      </c>
      <c r="D30" s="7"/>
      <c r="E30" s="7">
        <v>0</v>
      </c>
      <c r="F30" s="2">
        <f t="shared" si="0"/>
        <v>0</v>
      </c>
      <c r="G30" s="10">
        <v>6.0293200000000003E-3</v>
      </c>
      <c r="H30" s="2">
        <f t="shared" si="4"/>
        <v>0</v>
      </c>
      <c r="I30" s="2">
        <f t="shared" si="2"/>
        <v>0</v>
      </c>
      <c r="J30" s="2">
        <f t="shared" si="5"/>
        <v>0</v>
      </c>
      <c r="L30" s="11"/>
      <c r="M30" s="7"/>
      <c r="R30" s="7">
        <f t="shared" si="7"/>
        <v>0</v>
      </c>
      <c r="S30" s="7">
        <f t="shared" si="8"/>
        <v>0</v>
      </c>
    </row>
    <row r="31" spans="1:19">
      <c r="A31" s="14"/>
      <c r="B31" s="13" t="s">
        <v>36</v>
      </c>
      <c r="C31" s="7">
        <f t="shared" si="3"/>
        <v>0</v>
      </c>
      <c r="D31" s="7"/>
      <c r="E31" s="7">
        <v>0</v>
      </c>
      <c r="F31" s="2">
        <f t="shared" si="0"/>
        <v>0</v>
      </c>
      <c r="G31" s="10">
        <v>6.0293200000000003E-3</v>
      </c>
      <c r="H31" s="2">
        <f t="shared" si="4"/>
        <v>0</v>
      </c>
      <c r="I31" s="2">
        <f t="shared" si="2"/>
        <v>0</v>
      </c>
      <c r="J31" s="2">
        <f t="shared" si="5"/>
        <v>0</v>
      </c>
      <c r="L31" s="11"/>
      <c r="M31" s="7"/>
      <c r="R31" s="7">
        <f t="shared" si="7"/>
        <v>0</v>
      </c>
      <c r="S31" s="7">
        <f t="shared" si="8"/>
        <v>0</v>
      </c>
    </row>
    <row r="32" spans="1:19">
      <c r="A32" s="16"/>
      <c r="B32" s="13" t="s">
        <v>16</v>
      </c>
      <c r="C32" s="7">
        <f t="shared" si="3"/>
        <v>0</v>
      </c>
      <c r="D32" s="7"/>
      <c r="E32" s="7">
        <v>0</v>
      </c>
      <c r="F32" s="2">
        <f t="shared" si="0"/>
        <v>0</v>
      </c>
      <c r="G32" s="10">
        <v>6.0293200000000003E-3</v>
      </c>
      <c r="H32" s="2">
        <f t="shared" si="4"/>
        <v>0</v>
      </c>
      <c r="I32" s="2">
        <f t="shared" si="2"/>
        <v>0</v>
      </c>
      <c r="J32" s="2">
        <f t="shared" si="5"/>
        <v>0</v>
      </c>
      <c r="L32" s="11"/>
      <c r="M32" s="7"/>
      <c r="R32" s="7">
        <f t="shared" si="7"/>
        <v>0</v>
      </c>
      <c r="S32" s="7">
        <f t="shared" si="8"/>
        <v>0</v>
      </c>
    </row>
    <row r="33" spans="1:19">
      <c r="A33" s="14"/>
      <c r="B33" s="13" t="s">
        <v>17</v>
      </c>
      <c r="C33" s="7">
        <f t="shared" si="3"/>
        <v>0</v>
      </c>
      <c r="D33" s="7"/>
      <c r="E33" s="7">
        <v>0</v>
      </c>
      <c r="F33" s="2">
        <f t="shared" si="0"/>
        <v>0</v>
      </c>
      <c r="G33" s="10">
        <v>6.0293200000000003E-3</v>
      </c>
      <c r="H33" s="2">
        <f t="shared" si="4"/>
        <v>0</v>
      </c>
      <c r="I33" s="2">
        <f t="shared" si="2"/>
        <v>0</v>
      </c>
      <c r="J33" s="2">
        <f t="shared" si="5"/>
        <v>0</v>
      </c>
      <c r="L33" s="11"/>
      <c r="M33" s="7"/>
      <c r="R33" s="7">
        <f t="shared" si="7"/>
        <v>0</v>
      </c>
      <c r="S33" s="7">
        <f t="shared" si="8"/>
        <v>0</v>
      </c>
    </row>
    <row r="34" spans="1:19" ht="13.5" thickBot="1">
      <c r="A34" s="17"/>
      <c r="B34" s="13" t="s">
        <v>18</v>
      </c>
      <c r="C34" s="7">
        <f t="shared" si="3"/>
        <v>0</v>
      </c>
      <c r="D34" s="7"/>
      <c r="E34" s="7">
        <v>0</v>
      </c>
      <c r="F34" s="2">
        <f t="shared" si="0"/>
        <v>0</v>
      </c>
      <c r="G34" s="10">
        <v>6.0293200000000003E-3</v>
      </c>
      <c r="H34" s="2">
        <f t="shared" si="4"/>
        <v>0</v>
      </c>
      <c r="I34" s="2">
        <f t="shared" si="2"/>
        <v>0</v>
      </c>
      <c r="J34" s="2">
        <f t="shared" si="5"/>
        <v>0</v>
      </c>
      <c r="L34" s="11"/>
      <c r="M34" s="7"/>
      <c r="O34" s="7">
        <f>SUM(D23:D34)</f>
        <v>0</v>
      </c>
      <c r="P34" s="7">
        <f>SUM(R23:R34)</f>
        <v>0</v>
      </c>
      <c r="Q34" s="7">
        <f>SUM(E23:E34)</f>
        <v>0</v>
      </c>
      <c r="R34" s="7">
        <f t="shared" si="7"/>
        <v>0</v>
      </c>
      <c r="S34" s="7">
        <f t="shared" si="8"/>
        <v>0</v>
      </c>
    </row>
    <row r="35" spans="1:19">
      <c r="A35" s="1">
        <f>A23+1</f>
        <v>2008</v>
      </c>
      <c r="B35" s="6" t="s">
        <v>7</v>
      </c>
      <c r="C35" s="7">
        <f t="shared" si="3"/>
        <v>0</v>
      </c>
      <c r="D35" s="2"/>
      <c r="E35" s="7">
        <v>0</v>
      </c>
      <c r="F35" s="2">
        <f t="shared" si="0"/>
        <v>0</v>
      </c>
      <c r="G35" s="10">
        <v>6.0293200000000003E-3</v>
      </c>
      <c r="H35" s="2">
        <f t="shared" si="4"/>
        <v>0</v>
      </c>
      <c r="I35" s="2">
        <f t="shared" si="2"/>
        <v>0</v>
      </c>
      <c r="J35" s="2">
        <f t="shared" si="5"/>
        <v>0</v>
      </c>
      <c r="L35" s="11"/>
      <c r="M35" s="7"/>
      <c r="R35" s="7">
        <f t="shared" si="7"/>
        <v>0</v>
      </c>
      <c r="S35" s="7">
        <f t="shared" si="8"/>
        <v>0</v>
      </c>
    </row>
    <row r="36" spans="1:19">
      <c r="B36" s="6" t="s">
        <v>8</v>
      </c>
      <c r="C36" s="7">
        <f t="shared" si="3"/>
        <v>0</v>
      </c>
      <c r="D36" s="2"/>
      <c r="E36" s="7">
        <v>0</v>
      </c>
      <c r="F36" s="2">
        <f t="shared" si="0"/>
        <v>0</v>
      </c>
      <c r="G36" s="10">
        <v>6.0293200000000003E-3</v>
      </c>
      <c r="H36" s="2">
        <f t="shared" si="4"/>
        <v>0</v>
      </c>
      <c r="I36" s="2">
        <f t="shared" si="2"/>
        <v>0</v>
      </c>
      <c r="J36" s="2">
        <f t="shared" si="5"/>
        <v>0</v>
      </c>
      <c r="L36" s="11"/>
      <c r="M36" s="7"/>
      <c r="R36" s="7">
        <f t="shared" si="7"/>
        <v>0</v>
      </c>
      <c r="S36" s="7">
        <f t="shared" si="8"/>
        <v>0</v>
      </c>
    </row>
    <row r="37" spans="1:19">
      <c r="B37" s="6" t="s">
        <v>9</v>
      </c>
      <c r="C37" s="7">
        <f t="shared" si="3"/>
        <v>0</v>
      </c>
      <c r="D37" s="2"/>
      <c r="E37" s="7">
        <v>0</v>
      </c>
      <c r="F37" s="2">
        <f t="shared" ref="F37:F66" si="9">(D37+(C37*2))*0.5</f>
        <v>0</v>
      </c>
      <c r="G37" s="10">
        <v>6.0293200000000003E-3</v>
      </c>
      <c r="H37" s="2">
        <f t="shared" si="4"/>
        <v>0</v>
      </c>
      <c r="I37" s="2">
        <f t="shared" ref="I37:I68" si="10">+C37+D37+H37-E37</f>
        <v>0</v>
      </c>
      <c r="J37" s="2">
        <f t="shared" si="5"/>
        <v>0</v>
      </c>
      <c r="L37" s="11"/>
      <c r="M37" s="7"/>
      <c r="R37" s="7">
        <f t="shared" si="7"/>
        <v>0</v>
      </c>
      <c r="S37" s="7">
        <f t="shared" si="8"/>
        <v>0</v>
      </c>
    </row>
    <row r="38" spans="1:19">
      <c r="B38" s="6" t="s">
        <v>10</v>
      </c>
      <c r="C38" s="7">
        <f t="shared" si="3"/>
        <v>0</v>
      </c>
      <c r="D38" s="2"/>
      <c r="E38" s="7">
        <v>0</v>
      </c>
      <c r="F38" s="2">
        <f t="shared" si="9"/>
        <v>0</v>
      </c>
      <c r="G38" s="10">
        <v>6.0293200000000003E-3</v>
      </c>
      <c r="H38" s="2">
        <f t="shared" si="4"/>
        <v>0</v>
      </c>
      <c r="I38" s="2">
        <f t="shared" si="10"/>
        <v>0</v>
      </c>
      <c r="J38" s="2">
        <f t="shared" si="5"/>
        <v>0</v>
      </c>
      <c r="L38" s="11"/>
      <c r="M38" s="7"/>
      <c r="R38" s="7">
        <f t="shared" si="7"/>
        <v>0</v>
      </c>
      <c r="S38" s="7">
        <f t="shared" si="8"/>
        <v>0</v>
      </c>
    </row>
    <row r="39" spans="1:19">
      <c r="B39" s="6" t="s">
        <v>11</v>
      </c>
      <c r="C39" s="7">
        <f t="shared" si="3"/>
        <v>0</v>
      </c>
      <c r="D39" s="2"/>
      <c r="E39" s="7">
        <v>0</v>
      </c>
      <c r="F39" s="2">
        <f t="shared" si="9"/>
        <v>0</v>
      </c>
      <c r="G39" s="10">
        <f t="shared" ref="G39:G70" si="11">ROUND(((1+$A$2)^(1/12))-1,8)</f>
        <v>6.1618300000000001E-3</v>
      </c>
      <c r="H39" s="2">
        <f t="shared" ref="H39:H71" si="12">ROUND(+F39*G39,0)</f>
        <v>0</v>
      </c>
      <c r="I39" s="2">
        <f t="shared" si="10"/>
        <v>0</v>
      </c>
      <c r="J39" s="2">
        <f t="shared" si="5"/>
        <v>0</v>
      </c>
      <c r="L39" s="11"/>
      <c r="M39" s="7"/>
      <c r="R39" s="7">
        <f t="shared" si="7"/>
        <v>0</v>
      </c>
      <c r="S39" s="7">
        <f t="shared" si="8"/>
        <v>0</v>
      </c>
    </row>
    <row r="40" spans="1:19">
      <c r="B40" s="6" t="s">
        <v>37</v>
      </c>
      <c r="C40" s="7">
        <f t="shared" si="3"/>
        <v>0</v>
      </c>
      <c r="D40" s="2"/>
      <c r="E40" s="7">
        <v>0</v>
      </c>
      <c r="F40" s="2">
        <f t="shared" si="9"/>
        <v>0</v>
      </c>
      <c r="G40" s="10">
        <f t="shared" si="11"/>
        <v>6.1618300000000001E-3</v>
      </c>
      <c r="H40" s="2">
        <f t="shared" si="12"/>
        <v>0</v>
      </c>
      <c r="I40" s="2">
        <f t="shared" si="10"/>
        <v>0</v>
      </c>
      <c r="J40" s="2">
        <f t="shared" si="5"/>
        <v>0</v>
      </c>
      <c r="L40" s="11"/>
      <c r="M40" s="7"/>
      <c r="R40" s="7">
        <f t="shared" si="7"/>
        <v>0</v>
      </c>
      <c r="S40" s="7">
        <f t="shared" si="8"/>
        <v>0</v>
      </c>
    </row>
    <row r="41" spans="1:19">
      <c r="B41" s="6" t="s">
        <v>38</v>
      </c>
      <c r="C41" s="7">
        <f t="shared" si="3"/>
        <v>0</v>
      </c>
      <c r="D41" s="2"/>
      <c r="E41" s="7">
        <v>0</v>
      </c>
      <c r="F41" s="2">
        <f t="shared" si="9"/>
        <v>0</v>
      </c>
      <c r="G41" s="10">
        <f t="shared" si="11"/>
        <v>6.1618300000000001E-3</v>
      </c>
      <c r="H41" s="2">
        <f t="shared" si="12"/>
        <v>0</v>
      </c>
      <c r="I41" s="2">
        <f t="shared" si="10"/>
        <v>0</v>
      </c>
      <c r="J41" s="2">
        <f t="shared" si="5"/>
        <v>0</v>
      </c>
      <c r="L41" s="11"/>
      <c r="M41" s="7"/>
      <c r="R41" s="7">
        <f t="shared" si="7"/>
        <v>0</v>
      </c>
      <c r="S41" s="7">
        <f t="shared" si="8"/>
        <v>0</v>
      </c>
    </row>
    <row r="42" spans="1:19">
      <c r="B42" s="6" t="s">
        <v>14</v>
      </c>
      <c r="C42" s="7">
        <f t="shared" ref="C42:C73" si="13">+I41</f>
        <v>0</v>
      </c>
      <c r="D42" s="2"/>
      <c r="E42" s="7">
        <v>0</v>
      </c>
      <c r="F42" s="2">
        <f t="shared" si="9"/>
        <v>0</v>
      </c>
      <c r="G42" s="10">
        <f t="shared" si="11"/>
        <v>6.1618300000000001E-3</v>
      </c>
      <c r="H42" s="2">
        <f t="shared" si="12"/>
        <v>0</v>
      </c>
      <c r="I42" s="2">
        <f t="shared" si="10"/>
        <v>0</v>
      </c>
      <c r="J42" s="2">
        <f t="shared" si="5"/>
        <v>0</v>
      </c>
      <c r="L42" s="11"/>
      <c r="M42" s="7"/>
      <c r="R42" s="7">
        <f t="shared" si="7"/>
        <v>0</v>
      </c>
      <c r="S42" s="7">
        <f t="shared" si="8"/>
        <v>0</v>
      </c>
    </row>
    <row r="43" spans="1:19">
      <c r="B43" s="6" t="s">
        <v>36</v>
      </c>
      <c r="C43" s="7">
        <f t="shared" si="13"/>
        <v>0</v>
      </c>
      <c r="D43" s="2"/>
      <c r="E43" s="7">
        <v>0</v>
      </c>
      <c r="F43" s="2">
        <f t="shared" si="9"/>
        <v>0</v>
      </c>
      <c r="G43" s="10">
        <f t="shared" si="11"/>
        <v>6.1618300000000001E-3</v>
      </c>
      <c r="H43" s="2">
        <f t="shared" si="12"/>
        <v>0</v>
      </c>
      <c r="I43" s="2">
        <f t="shared" si="10"/>
        <v>0</v>
      </c>
      <c r="J43" s="2">
        <f t="shared" ref="J43:J74" si="14">+H43+J42</f>
        <v>0</v>
      </c>
      <c r="L43" s="11"/>
      <c r="M43" s="7"/>
      <c r="R43" s="7">
        <f t="shared" ref="R43:R74" si="15">+D43+H43</f>
        <v>0</v>
      </c>
      <c r="S43" s="7">
        <f t="shared" ref="S43:S74" si="16">+E43</f>
        <v>0</v>
      </c>
    </row>
    <row r="44" spans="1:19">
      <c r="B44" s="6" t="s">
        <v>16</v>
      </c>
      <c r="C44" s="7">
        <f t="shared" si="13"/>
        <v>0</v>
      </c>
      <c r="D44" s="2"/>
      <c r="E44" s="7">
        <v>0</v>
      </c>
      <c r="F44" s="2">
        <f t="shared" si="9"/>
        <v>0</v>
      </c>
      <c r="G44" s="10">
        <f t="shared" si="11"/>
        <v>6.1618300000000001E-3</v>
      </c>
      <c r="H44" s="2">
        <f t="shared" si="12"/>
        <v>0</v>
      </c>
      <c r="I44" s="2">
        <f t="shared" si="10"/>
        <v>0</v>
      </c>
      <c r="J44" s="2">
        <f t="shared" si="14"/>
        <v>0</v>
      </c>
      <c r="K44" s="55"/>
      <c r="L44" s="11"/>
      <c r="M44" s="7"/>
      <c r="R44" s="7">
        <f t="shared" si="15"/>
        <v>0</v>
      </c>
      <c r="S44" s="7">
        <f t="shared" si="16"/>
        <v>0</v>
      </c>
    </row>
    <row r="45" spans="1:19">
      <c r="A45" s="18"/>
      <c r="B45" s="6" t="s">
        <v>17</v>
      </c>
      <c r="C45" s="7">
        <f t="shared" si="13"/>
        <v>0</v>
      </c>
      <c r="D45" s="2"/>
      <c r="E45" s="7">
        <v>0</v>
      </c>
      <c r="F45" s="2">
        <f t="shared" si="9"/>
        <v>0</v>
      </c>
      <c r="G45" s="10">
        <f t="shared" si="11"/>
        <v>6.1618300000000001E-3</v>
      </c>
      <c r="H45" s="2">
        <f t="shared" si="12"/>
        <v>0</v>
      </c>
      <c r="I45" s="2">
        <f t="shared" si="10"/>
        <v>0</v>
      </c>
      <c r="J45" s="2">
        <f t="shared" si="14"/>
        <v>0</v>
      </c>
      <c r="L45" s="11"/>
      <c r="M45" s="7"/>
      <c r="R45" s="7">
        <f t="shared" si="15"/>
        <v>0</v>
      </c>
      <c r="S45" s="7">
        <f t="shared" si="16"/>
        <v>0</v>
      </c>
    </row>
    <row r="46" spans="1:19">
      <c r="A46" s="56"/>
      <c r="B46" s="6" t="s">
        <v>18</v>
      </c>
      <c r="C46" s="7">
        <f t="shared" si="13"/>
        <v>0</v>
      </c>
      <c r="D46" s="2"/>
      <c r="E46" s="7">
        <v>0</v>
      </c>
      <c r="F46" s="2">
        <f t="shared" si="9"/>
        <v>0</v>
      </c>
      <c r="G46" s="10">
        <f t="shared" si="11"/>
        <v>6.1618300000000001E-3</v>
      </c>
      <c r="H46" s="2">
        <f t="shared" si="12"/>
        <v>0</v>
      </c>
      <c r="I46" s="2">
        <f t="shared" si="10"/>
        <v>0</v>
      </c>
      <c r="J46" s="2">
        <f t="shared" si="14"/>
        <v>0</v>
      </c>
      <c r="L46" s="7"/>
      <c r="M46" s="7"/>
      <c r="O46" s="7">
        <f>SUM(D35:D46)</f>
        <v>0</v>
      </c>
      <c r="P46" s="7">
        <f>SUM(R35:R46)</f>
        <v>0</v>
      </c>
      <c r="Q46" s="7">
        <f>SUM(E35:E46)</f>
        <v>0</v>
      </c>
      <c r="R46" s="7">
        <f t="shared" si="15"/>
        <v>0</v>
      </c>
      <c r="S46" s="7">
        <f t="shared" si="16"/>
        <v>0</v>
      </c>
    </row>
    <row r="47" spans="1:19">
      <c r="A47" s="1">
        <f>A35+1</f>
        <v>2009</v>
      </c>
      <c r="B47" s="6" t="s">
        <v>7</v>
      </c>
      <c r="C47" s="7">
        <f t="shared" si="13"/>
        <v>0</v>
      </c>
      <c r="D47" s="2"/>
      <c r="E47" s="7">
        <v>0</v>
      </c>
      <c r="F47" s="2">
        <f t="shared" si="9"/>
        <v>0</v>
      </c>
      <c r="G47" s="10">
        <f t="shared" si="11"/>
        <v>6.1618300000000001E-3</v>
      </c>
      <c r="H47" s="2">
        <f t="shared" si="12"/>
        <v>0</v>
      </c>
      <c r="I47" s="2">
        <f t="shared" si="10"/>
        <v>0</v>
      </c>
      <c r="J47" s="2">
        <f t="shared" si="14"/>
        <v>0</v>
      </c>
      <c r="R47" s="7">
        <f t="shared" si="15"/>
        <v>0</v>
      </c>
      <c r="S47" s="7">
        <f t="shared" si="16"/>
        <v>0</v>
      </c>
    </row>
    <row r="48" spans="1:19">
      <c r="B48" s="6" t="s">
        <v>8</v>
      </c>
      <c r="C48" s="7">
        <f t="shared" si="13"/>
        <v>0</v>
      </c>
      <c r="D48" s="2"/>
      <c r="E48" s="7">
        <v>0</v>
      </c>
      <c r="F48" s="2">
        <f t="shared" si="9"/>
        <v>0</v>
      </c>
      <c r="G48" s="10">
        <f t="shared" si="11"/>
        <v>6.1618300000000001E-3</v>
      </c>
      <c r="H48" s="2">
        <f t="shared" si="12"/>
        <v>0</v>
      </c>
      <c r="I48" s="2">
        <f t="shared" si="10"/>
        <v>0</v>
      </c>
      <c r="J48" s="2">
        <f t="shared" si="14"/>
        <v>0</v>
      </c>
      <c r="R48" s="7">
        <f t="shared" si="15"/>
        <v>0</v>
      </c>
      <c r="S48" s="7">
        <f t="shared" si="16"/>
        <v>0</v>
      </c>
    </row>
    <row r="49" spans="1:19">
      <c r="B49" s="6" t="s">
        <v>9</v>
      </c>
      <c r="C49" s="7">
        <f t="shared" si="13"/>
        <v>0</v>
      </c>
      <c r="D49" s="7"/>
      <c r="E49" s="7">
        <v>0</v>
      </c>
      <c r="F49" s="2">
        <f t="shared" si="9"/>
        <v>0</v>
      </c>
      <c r="G49" s="10">
        <f t="shared" si="11"/>
        <v>6.1618300000000001E-3</v>
      </c>
      <c r="H49" s="2">
        <f t="shared" si="12"/>
        <v>0</v>
      </c>
      <c r="I49" s="2">
        <f t="shared" si="10"/>
        <v>0</v>
      </c>
      <c r="J49" s="2">
        <f t="shared" si="14"/>
        <v>0</v>
      </c>
      <c r="R49" s="7">
        <f t="shared" si="15"/>
        <v>0</v>
      </c>
      <c r="S49" s="7">
        <f t="shared" si="16"/>
        <v>0</v>
      </c>
    </row>
    <row r="50" spans="1:19">
      <c r="B50" s="6" t="s">
        <v>10</v>
      </c>
      <c r="C50" s="7">
        <f t="shared" si="13"/>
        <v>0</v>
      </c>
      <c r="D50" s="7"/>
      <c r="E50" s="7">
        <v>0</v>
      </c>
      <c r="F50" s="2">
        <f t="shared" si="9"/>
        <v>0</v>
      </c>
      <c r="G50" s="10">
        <f t="shared" si="11"/>
        <v>6.1618300000000001E-3</v>
      </c>
      <c r="H50" s="2">
        <f t="shared" si="12"/>
        <v>0</v>
      </c>
      <c r="I50" s="2">
        <f t="shared" si="10"/>
        <v>0</v>
      </c>
      <c r="J50" s="2">
        <f t="shared" si="14"/>
        <v>0</v>
      </c>
      <c r="R50" s="7">
        <f t="shared" si="15"/>
        <v>0</v>
      </c>
      <c r="S50" s="7">
        <f t="shared" si="16"/>
        <v>0</v>
      </c>
    </row>
    <row r="51" spans="1:19">
      <c r="B51" s="6" t="s">
        <v>11</v>
      </c>
      <c r="C51" s="7">
        <f t="shared" si="13"/>
        <v>0</v>
      </c>
      <c r="D51" s="7"/>
      <c r="E51" s="7">
        <v>0</v>
      </c>
      <c r="F51" s="2">
        <f t="shared" si="9"/>
        <v>0</v>
      </c>
      <c r="G51" s="10">
        <f t="shared" si="11"/>
        <v>6.1618300000000001E-3</v>
      </c>
      <c r="H51" s="2">
        <f t="shared" si="12"/>
        <v>0</v>
      </c>
      <c r="I51" s="2">
        <f t="shared" si="10"/>
        <v>0</v>
      </c>
      <c r="J51" s="2">
        <f t="shared" si="14"/>
        <v>0</v>
      </c>
      <c r="R51" s="7">
        <f t="shared" si="15"/>
        <v>0</v>
      </c>
      <c r="S51" s="7">
        <f t="shared" si="16"/>
        <v>0</v>
      </c>
    </row>
    <row r="52" spans="1:19">
      <c r="B52" s="6" t="s">
        <v>37</v>
      </c>
      <c r="C52" s="7">
        <f t="shared" si="13"/>
        <v>0</v>
      </c>
      <c r="D52" s="7"/>
      <c r="E52" s="7">
        <v>0</v>
      </c>
      <c r="F52" s="2">
        <f t="shared" si="9"/>
        <v>0</v>
      </c>
      <c r="G52" s="10">
        <f t="shared" si="11"/>
        <v>6.1618300000000001E-3</v>
      </c>
      <c r="H52" s="2">
        <f t="shared" si="12"/>
        <v>0</v>
      </c>
      <c r="I52" s="2">
        <f t="shared" si="10"/>
        <v>0</v>
      </c>
      <c r="J52" s="2">
        <f t="shared" si="14"/>
        <v>0</v>
      </c>
      <c r="R52" s="7">
        <f t="shared" si="15"/>
        <v>0</v>
      </c>
      <c r="S52" s="7">
        <f t="shared" si="16"/>
        <v>0</v>
      </c>
    </row>
    <row r="53" spans="1:19">
      <c r="B53" s="6" t="s">
        <v>38</v>
      </c>
      <c r="C53" s="7">
        <f t="shared" si="13"/>
        <v>0</v>
      </c>
      <c r="D53" s="7"/>
      <c r="E53" s="7">
        <v>0</v>
      </c>
      <c r="F53" s="2">
        <f t="shared" si="9"/>
        <v>0</v>
      </c>
      <c r="G53" s="10">
        <f t="shared" si="11"/>
        <v>6.1618300000000001E-3</v>
      </c>
      <c r="H53" s="2">
        <f t="shared" si="12"/>
        <v>0</v>
      </c>
      <c r="I53" s="2">
        <f t="shared" si="10"/>
        <v>0</v>
      </c>
      <c r="J53" s="2">
        <f t="shared" si="14"/>
        <v>0</v>
      </c>
      <c r="R53" s="7">
        <f t="shared" si="15"/>
        <v>0</v>
      </c>
      <c r="S53" s="7">
        <f t="shared" si="16"/>
        <v>0</v>
      </c>
    </row>
    <row r="54" spans="1:19">
      <c r="B54" s="6" t="s">
        <v>14</v>
      </c>
      <c r="C54" s="7">
        <f t="shared" si="13"/>
        <v>0</v>
      </c>
      <c r="D54" s="7"/>
      <c r="E54" s="7">
        <v>0</v>
      </c>
      <c r="F54" s="2">
        <f t="shared" si="9"/>
        <v>0</v>
      </c>
      <c r="G54" s="10">
        <f t="shared" si="11"/>
        <v>6.1618300000000001E-3</v>
      </c>
      <c r="H54" s="2">
        <f t="shared" si="12"/>
        <v>0</v>
      </c>
      <c r="I54" s="2">
        <f t="shared" si="10"/>
        <v>0</v>
      </c>
      <c r="J54" s="2">
        <f t="shared" si="14"/>
        <v>0</v>
      </c>
      <c r="R54" s="7">
        <f t="shared" si="15"/>
        <v>0</v>
      </c>
      <c r="S54" s="7">
        <f t="shared" si="16"/>
        <v>0</v>
      </c>
    </row>
    <row r="55" spans="1:19">
      <c r="B55" s="6" t="s">
        <v>36</v>
      </c>
      <c r="C55" s="7">
        <f t="shared" si="13"/>
        <v>0</v>
      </c>
      <c r="D55" s="7"/>
      <c r="E55" s="7">
        <v>0</v>
      </c>
      <c r="F55" s="2">
        <f t="shared" si="9"/>
        <v>0</v>
      </c>
      <c r="G55" s="10">
        <f t="shared" si="11"/>
        <v>6.1618300000000001E-3</v>
      </c>
      <c r="H55" s="2">
        <f t="shared" si="12"/>
        <v>0</v>
      </c>
      <c r="I55" s="2">
        <f t="shared" si="10"/>
        <v>0</v>
      </c>
      <c r="J55" s="2">
        <f t="shared" si="14"/>
        <v>0</v>
      </c>
      <c r="R55" s="7">
        <f t="shared" si="15"/>
        <v>0</v>
      </c>
      <c r="S55" s="7">
        <f t="shared" si="16"/>
        <v>0</v>
      </c>
    </row>
    <row r="56" spans="1:19">
      <c r="B56" s="6" t="s">
        <v>16</v>
      </c>
      <c r="C56" s="7">
        <f t="shared" si="13"/>
        <v>0</v>
      </c>
      <c r="D56" s="7"/>
      <c r="E56" s="7">
        <v>0</v>
      </c>
      <c r="F56" s="2">
        <f t="shared" si="9"/>
        <v>0</v>
      </c>
      <c r="G56" s="10">
        <f t="shared" si="11"/>
        <v>6.1618300000000001E-3</v>
      </c>
      <c r="H56" s="2">
        <f t="shared" si="12"/>
        <v>0</v>
      </c>
      <c r="I56" s="2">
        <f t="shared" si="10"/>
        <v>0</v>
      </c>
      <c r="J56" s="2">
        <f t="shared" si="14"/>
        <v>0</v>
      </c>
      <c r="R56" s="7">
        <f t="shared" si="15"/>
        <v>0</v>
      </c>
      <c r="S56" s="7">
        <f t="shared" si="16"/>
        <v>0</v>
      </c>
    </row>
    <row r="57" spans="1:19">
      <c r="B57" s="6" t="s">
        <v>17</v>
      </c>
      <c r="C57" s="7">
        <f t="shared" si="13"/>
        <v>0</v>
      </c>
      <c r="D57" s="7"/>
      <c r="E57" s="7">
        <v>0</v>
      </c>
      <c r="F57" s="2">
        <f t="shared" si="9"/>
        <v>0</v>
      </c>
      <c r="G57" s="10">
        <f t="shared" si="11"/>
        <v>6.1618300000000001E-3</v>
      </c>
      <c r="H57" s="2">
        <f t="shared" si="12"/>
        <v>0</v>
      </c>
      <c r="I57" s="2">
        <f t="shared" si="10"/>
        <v>0</v>
      </c>
      <c r="J57" s="2">
        <f t="shared" si="14"/>
        <v>0</v>
      </c>
      <c r="R57" s="7">
        <f t="shared" si="15"/>
        <v>0</v>
      </c>
      <c r="S57" s="7">
        <f t="shared" si="16"/>
        <v>0</v>
      </c>
    </row>
    <row r="58" spans="1:19">
      <c r="B58" s="19" t="s">
        <v>18</v>
      </c>
      <c r="C58" s="7">
        <f t="shared" si="13"/>
        <v>0</v>
      </c>
      <c r="D58" s="7">
        <v>0</v>
      </c>
      <c r="E58" s="7">
        <v>0</v>
      </c>
      <c r="F58" s="2">
        <f t="shared" si="9"/>
        <v>0</v>
      </c>
      <c r="G58" s="10">
        <f t="shared" si="11"/>
        <v>6.1618300000000001E-3</v>
      </c>
      <c r="H58" s="2">
        <v>0</v>
      </c>
      <c r="I58" s="2">
        <f t="shared" si="10"/>
        <v>0</v>
      </c>
      <c r="J58" s="2">
        <f t="shared" si="14"/>
        <v>0</v>
      </c>
      <c r="O58" s="7">
        <f>SUM(D47:D58)</f>
        <v>0</v>
      </c>
      <c r="P58" s="7">
        <f>SUM(R47:R58)</f>
        <v>0</v>
      </c>
      <c r="Q58" s="7">
        <f>SUM(E47:E58)</f>
        <v>0</v>
      </c>
      <c r="R58" s="7">
        <f t="shared" si="15"/>
        <v>0</v>
      </c>
      <c r="S58" s="7">
        <f t="shared" si="16"/>
        <v>0</v>
      </c>
    </row>
    <row r="59" spans="1:19">
      <c r="A59" s="1">
        <f>A47+1</f>
        <v>2010</v>
      </c>
      <c r="B59" s="6" t="s">
        <v>7</v>
      </c>
      <c r="C59" s="7">
        <f t="shared" si="13"/>
        <v>0</v>
      </c>
      <c r="D59" s="38">
        <v>0</v>
      </c>
      <c r="E59" s="7">
        <v>0</v>
      </c>
      <c r="F59" s="2">
        <f t="shared" si="9"/>
        <v>0</v>
      </c>
      <c r="G59" s="10">
        <f t="shared" si="11"/>
        <v>6.1618300000000001E-3</v>
      </c>
      <c r="H59" s="2">
        <f t="shared" si="12"/>
        <v>0</v>
      </c>
      <c r="I59" s="2">
        <f>+C59+D59+H59-E59</f>
        <v>0</v>
      </c>
      <c r="J59" s="2">
        <f t="shared" si="14"/>
        <v>0</v>
      </c>
      <c r="R59" s="7">
        <f t="shared" si="15"/>
        <v>0</v>
      </c>
      <c r="S59" s="7">
        <f t="shared" si="16"/>
        <v>0</v>
      </c>
    </row>
    <row r="60" spans="1:19">
      <c r="B60" s="6" t="s">
        <v>8</v>
      </c>
      <c r="C60" s="7">
        <f t="shared" si="13"/>
        <v>0</v>
      </c>
      <c r="D60" s="38">
        <v>0</v>
      </c>
      <c r="E60" s="7">
        <v>0</v>
      </c>
      <c r="F60" s="2">
        <f t="shared" si="9"/>
        <v>0</v>
      </c>
      <c r="G60" s="10">
        <f t="shared" si="11"/>
        <v>6.1618300000000001E-3</v>
      </c>
      <c r="H60" s="2">
        <f t="shared" si="12"/>
        <v>0</v>
      </c>
      <c r="I60" s="2">
        <f t="shared" si="10"/>
        <v>0</v>
      </c>
      <c r="J60" s="2">
        <f t="shared" si="14"/>
        <v>0</v>
      </c>
      <c r="R60" s="7">
        <f t="shared" si="15"/>
        <v>0</v>
      </c>
      <c r="S60" s="7">
        <f t="shared" si="16"/>
        <v>0</v>
      </c>
    </row>
    <row r="61" spans="1:19">
      <c r="B61" s="6" t="s">
        <v>9</v>
      </c>
      <c r="C61" s="7">
        <f t="shared" si="13"/>
        <v>0</v>
      </c>
      <c r="D61" s="38">
        <v>0</v>
      </c>
      <c r="E61" s="7">
        <v>0</v>
      </c>
      <c r="F61" s="2">
        <f t="shared" si="9"/>
        <v>0</v>
      </c>
      <c r="G61" s="10">
        <f t="shared" si="11"/>
        <v>6.1618300000000001E-3</v>
      </c>
      <c r="H61" s="2">
        <f t="shared" si="12"/>
        <v>0</v>
      </c>
      <c r="I61" s="2">
        <f t="shared" si="10"/>
        <v>0</v>
      </c>
      <c r="J61" s="2">
        <f t="shared" si="14"/>
        <v>0</v>
      </c>
      <c r="R61" s="7">
        <f t="shared" si="15"/>
        <v>0</v>
      </c>
      <c r="S61" s="7">
        <f t="shared" si="16"/>
        <v>0</v>
      </c>
    </row>
    <row r="62" spans="1:19">
      <c r="B62" s="6" t="s">
        <v>10</v>
      </c>
      <c r="C62" s="7">
        <f t="shared" si="13"/>
        <v>0</v>
      </c>
      <c r="D62" s="38">
        <v>0</v>
      </c>
      <c r="E62" s="7">
        <v>0</v>
      </c>
      <c r="F62" s="2">
        <f t="shared" si="9"/>
        <v>0</v>
      </c>
      <c r="G62" s="10">
        <f t="shared" si="11"/>
        <v>6.1618300000000001E-3</v>
      </c>
      <c r="H62" s="2">
        <f t="shared" si="12"/>
        <v>0</v>
      </c>
      <c r="I62" s="2">
        <f t="shared" si="10"/>
        <v>0</v>
      </c>
      <c r="J62" s="2">
        <f t="shared" si="14"/>
        <v>0</v>
      </c>
      <c r="R62" s="7">
        <f t="shared" si="15"/>
        <v>0</v>
      </c>
      <c r="S62" s="7">
        <f t="shared" si="16"/>
        <v>0</v>
      </c>
    </row>
    <row r="63" spans="1:19">
      <c r="B63" s="6" t="s">
        <v>11</v>
      </c>
      <c r="C63" s="7">
        <f t="shared" si="13"/>
        <v>0</v>
      </c>
      <c r="D63" s="38">
        <v>0</v>
      </c>
      <c r="E63" s="7">
        <v>0</v>
      </c>
      <c r="F63" s="2">
        <f t="shared" si="9"/>
        <v>0</v>
      </c>
      <c r="G63" s="10">
        <f t="shared" si="11"/>
        <v>6.1618300000000001E-3</v>
      </c>
      <c r="H63" s="2">
        <f t="shared" si="12"/>
        <v>0</v>
      </c>
      <c r="I63" s="2">
        <f t="shared" si="10"/>
        <v>0</v>
      </c>
      <c r="J63" s="2">
        <f t="shared" si="14"/>
        <v>0</v>
      </c>
      <c r="R63" s="7">
        <f t="shared" si="15"/>
        <v>0</v>
      </c>
      <c r="S63" s="7">
        <f t="shared" si="16"/>
        <v>0</v>
      </c>
    </row>
    <row r="64" spans="1:19">
      <c r="B64" s="6" t="s">
        <v>37</v>
      </c>
      <c r="C64" s="7">
        <f t="shared" si="13"/>
        <v>0</v>
      </c>
      <c r="D64" s="38">
        <v>0</v>
      </c>
      <c r="E64" s="7">
        <v>0</v>
      </c>
      <c r="F64" s="2">
        <f t="shared" si="9"/>
        <v>0</v>
      </c>
      <c r="G64" s="10">
        <f t="shared" si="11"/>
        <v>6.1618300000000001E-3</v>
      </c>
      <c r="H64" s="2">
        <f t="shared" si="12"/>
        <v>0</v>
      </c>
      <c r="I64" s="2">
        <f t="shared" si="10"/>
        <v>0</v>
      </c>
      <c r="J64" s="2">
        <f t="shared" si="14"/>
        <v>0</v>
      </c>
      <c r="R64" s="7">
        <f t="shared" si="15"/>
        <v>0</v>
      </c>
      <c r="S64" s="7">
        <f t="shared" si="16"/>
        <v>0</v>
      </c>
    </row>
    <row r="65" spans="1:19">
      <c r="B65" s="6" t="s">
        <v>38</v>
      </c>
      <c r="C65" s="7">
        <f t="shared" si="13"/>
        <v>0</v>
      </c>
      <c r="D65" s="38">
        <v>0</v>
      </c>
      <c r="E65" s="7">
        <v>0</v>
      </c>
      <c r="F65" s="2">
        <f t="shared" si="9"/>
        <v>0</v>
      </c>
      <c r="G65" s="10">
        <f t="shared" si="11"/>
        <v>6.1618300000000001E-3</v>
      </c>
      <c r="H65" s="2">
        <f t="shared" si="12"/>
        <v>0</v>
      </c>
      <c r="I65" s="2">
        <f t="shared" si="10"/>
        <v>0</v>
      </c>
      <c r="J65" s="2">
        <f t="shared" si="14"/>
        <v>0</v>
      </c>
      <c r="R65" s="7">
        <f t="shared" si="15"/>
        <v>0</v>
      </c>
      <c r="S65" s="7">
        <f t="shared" si="16"/>
        <v>0</v>
      </c>
    </row>
    <row r="66" spans="1:19">
      <c r="B66" s="6" t="s">
        <v>14</v>
      </c>
      <c r="C66" s="7">
        <f t="shared" si="13"/>
        <v>0</v>
      </c>
      <c r="D66" s="38">
        <v>0</v>
      </c>
      <c r="E66" s="7">
        <v>0</v>
      </c>
      <c r="F66" s="2">
        <f t="shared" si="9"/>
        <v>0</v>
      </c>
      <c r="G66" s="10">
        <f t="shared" si="11"/>
        <v>6.1618300000000001E-3</v>
      </c>
      <c r="H66" s="2">
        <f t="shared" si="12"/>
        <v>0</v>
      </c>
      <c r="I66" s="2">
        <f t="shared" si="10"/>
        <v>0</v>
      </c>
      <c r="J66" s="2">
        <f t="shared" si="14"/>
        <v>0</v>
      </c>
      <c r="R66" s="7">
        <f t="shared" si="15"/>
        <v>0</v>
      </c>
      <c r="S66" s="7">
        <f t="shared" si="16"/>
        <v>0</v>
      </c>
    </row>
    <row r="67" spans="1:19">
      <c r="B67" s="6" t="s">
        <v>36</v>
      </c>
      <c r="C67" s="7">
        <f t="shared" si="13"/>
        <v>0</v>
      </c>
      <c r="D67" s="38"/>
      <c r="E67" s="7">
        <v>0</v>
      </c>
      <c r="G67" s="10">
        <f t="shared" si="11"/>
        <v>6.1618300000000001E-3</v>
      </c>
      <c r="H67" s="2">
        <v>0</v>
      </c>
      <c r="I67" s="2">
        <f t="shared" si="10"/>
        <v>0</v>
      </c>
      <c r="J67" s="2">
        <f t="shared" si="14"/>
        <v>0</v>
      </c>
      <c r="R67" s="7">
        <f t="shared" si="15"/>
        <v>0</v>
      </c>
      <c r="S67" s="7">
        <f t="shared" si="16"/>
        <v>0</v>
      </c>
    </row>
    <row r="68" spans="1:19">
      <c r="B68" s="6" t="s">
        <v>16</v>
      </c>
      <c r="C68" s="7"/>
      <c r="D68" s="38"/>
      <c r="E68" s="7">
        <v>0</v>
      </c>
      <c r="G68" s="10">
        <f t="shared" si="11"/>
        <v>6.1618300000000001E-3</v>
      </c>
      <c r="H68" s="2">
        <f t="shared" si="12"/>
        <v>0</v>
      </c>
      <c r="I68" s="2">
        <f t="shared" si="10"/>
        <v>0</v>
      </c>
      <c r="J68" s="2">
        <f t="shared" si="14"/>
        <v>0</v>
      </c>
      <c r="R68" s="7">
        <f t="shared" si="15"/>
        <v>0</v>
      </c>
      <c r="S68" s="7">
        <f t="shared" si="16"/>
        <v>0</v>
      </c>
    </row>
    <row r="69" spans="1:19">
      <c r="B69" s="6" t="s">
        <v>17</v>
      </c>
      <c r="C69" s="7"/>
      <c r="D69" s="38"/>
      <c r="E69" s="7">
        <v>0</v>
      </c>
      <c r="G69" s="10">
        <f t="shared" si="11"/>
        <v>6.1618300000000001E-3</v>
      </c>
      <c r="H69" s="2">
        <f t="shared" si="12"/>
        <v>0</v>
      </c>
      <c r="I69" s="2">
        <f t="shared" ref="I69:I100" si="17">+C69+D69+H69-E69</f>
        <v>0</v>
      </c>
      <c r="J69" s="2">
        <f t="shared" si="14"/>
        <v>0</v>
      </c>
      <c r="R69" s="7">
        <f t="shared" si="15"/>
        <v>0</v>
      </c>
      <c r="S69" s="7">
        <f t="shared" si="16"/>
        <v>0</v>
      </c>
    </row>
    <row r="70" spans="1:19">
      <c r="B70" s="19" t="s">
        <v>18</v>
      </c>
      <c r="C70" s="7"/>
      <c r="D70" s="38"/>
      <c r="E70" s="7">
        <v>0</v>
      </c>
      <c r="G70" s="10">
        <f t="shared" si="11"/>
        <v>6.1618300000000001E-3</v>
      </c>
      <c r="H70" s="2">
        <f t="shared" si="12"/>
        <v>0</v>
      </c>
      <c r="I70" s="2">
        <f>'2010-2012 Reg Asset Proj (2)'!C61</f>
        <v>12814338.370000001</v>
      </c>
      <c r="J70" s="2">
        <f t="shared" si="14"/>
        <v>0</v>
      </c>
      <c r="O70" s="7">
        <f>SUM(D59:D70)</f>
        <v>0</v>
      </c>
      <c r="P70" s="7">
        <f>SUM(R59:R70)</f>
        <v>0</v>
      </c>
      <c r="Q70" s="7">
        <f>SUM(E59:E70)</f>
        <v>0</v>
      </c>
      <c r="R70" s="7">
        <f t="shared" si="15"/>
        <v>0</v>
      </c>
      <c r="S70" s="7">
        <f t="shared" si="16"/>
        <v>0</v>
      </c>
    </row>
    <row r="71" spans="1:19">
      <c r="A71" s="1">
        <f>A59+1</f>
        <v>2011</v>
      </c>
      <c r="B71" s="6" t="s">
        <v>7</v>
      </c>
      <c r="C71" s="7">
        <f t="shared" si="13"/>
        <v>12814338.370000001</v>
      </c>
      <c r="D71" s="38">
        <f>'2010-2012 Reg Asset Proj (2)'!D57</f>
        <v>511706.09966666671</v>
      </c>
      <c r="E71" s="7">
        <v>0</v>
      </c>
      <c r="F71" s="2">
        <f t="shared" ref="F71:F100" si="18">(D71+(C71*2))*0.5</f>
        <v>13070191.419833334</v>
      </c>
      <c r="G71" s="10">
        <f t="shared" ref="G71:G102" si="19">ROUND(((1+$A$2)^(1/12))-1,8)</f>
        <v>6.1618300000000001E-3</v>
      </c>
      <c r="H71" s="2">
        <f t="shared" si="12"/>
        <v>80536</v>
      </c>
      <c r="I71" s="2">
        <f t="shared" si="17"/>
        <v>13406580.469666667</v>
      </c>
      <c r="J71" s="2">
        <f t="shared" si="14"/>
        <v>80536</v>
      </c>
      <c r="R71" s="7">
        <f t="shared" si="15"/>
        <v>592242.09966666671</v>
      </c>
      <c r="S71" s="7">
        <f t="shared" si="16"/>
        <v>0</v>
      </c>
    </row>
    <row r="72" spans="1:19">
      <c r="B72" s="6" t="s">
        <v>8</v>
      </c>
      <c r="C72" s="7">
        <f t="shared" si="13"/>
        <v>13406580.469666667</v>
      </c>
      <c r="D72" s="38">
        <f>'2010-2012 Reg Asset Proj (2)'!E57</f>
        <v>8641721.8666666653</v>
      </c>
      <c r="E72" s="7">
        <v>0</v>
      </c>
      <c r="F72" s="2">
        <f t="shared" si="18"/>
        <v>17727441.403000001</v>
      </c>
      <c r="G72" s="10">
        <f t="shared" si="19"/>
        <v>6.1618300000000001E-3</v>
      </c>
      <c r="H72" s="2">
        <f t="shared" ref="H72:H98" si="20">ROUND(+F72*G72,0)</f>
        <v>109233</v>
      </c>
      <c r="I72" s="2">
        <f t="shared" si="17"/>
        <v>22157535.336333334</v>
      </c>
      <c r="J72" s="2">
        <f t="shared" si="14"/>
        <v>189769</v>
      </c>
      <c r="R72" s="7">
        <f t="shared" si="15"/>
        <v>8750954.8666666653</v>
      </c>
      <c r="S72" s="7">
        <f t="shared" si="16"/>
        <v>0</v>
      </c>
    </row>
    <row r="73" spans="1:19">
      <c r="B73" s="6" t="s">
        <v>9</v>
      </c>
      <c r="C73" s="7">
        <f t="shared" si="13"/>
        <v>22157535.336333334</v>
      </c>
      <c r="D73" s="38">
        <f>'2010-2012 Reg Asset Proj (2)'!F57</f>
        <v>1873821.8666666667</v>
      </c>
      <c r="E73" s="7">
        <v>0</v>
      </c>
      <c r="F73" s="2">
        <f t="shared" si="18"/>
        <v>23094446.269666668</v>
      </c>
      <c r="G73" s="10">
        <f t="shared" si="19"/>
        <v>6.1618300000000001E-3</v>
      </c>
      <c r="H73" s="2">
        <f t="shared" si="20"/>
        <v>142304</v>
      </c>
      <c r="I73" s="2">
        <f t="shared" si="17"/>
        <v>24173661.203000002</v>
      </c>
      <c r="J73" s="2">
        <f t="shared" si="14"/>
        <v>332073</v>
      </c>
      <c r="R73" s="7">
        <f t="shared" si="15"/>
        <v>2016125.8666666667</v>
      </c>
      <c r="S73" s="7">
        <f t="shared" si="16"/>
        <v>0</v>
      </c>
    </row>
    <row r="74" spans="1:19">
      <c r="B74" s="6" t="s">
        <v>10</v>
      </c>
      <c r="C74" s="7">
        <f t="shared" ref="C74:C91" si="21">+I73</f>
        <v>24173661.203000002</v>
      </c>
      <c r="D74" s="38">
        <f>'2010-2012 Reg Asset Proj (2)'!G57</f>
        <v>204155.2</v>
      </c>
      <c r="E74" s="7">
        <v>0</v>
      </c>
      <c r="F74" s="2">
        <f t="shared" si="18"/>
        <v>24275738.803000003</v>
      </c>
      <c r="G74" s="10">
        <f t="shared" si="19"/>
        <v>6.1618300000000001E-3</v>
      </c>
      <c r="H74" s="2">
        <f t="shared" si="20"/>
        <v>149583</v>
      </c>
      <c r="I74" s="2">
        <f t="shared" si="17"/>
        <v>24527399.403000001</v>
      </c>
      <c r="J74" s="2">
        <f t="shared" si="14"/>
        <v>481656</v>
      </c>
      <c r="R74" s="7">
        <f t="shared" si="15"/>
        <v>353738.2</v>
      </c>
      <c r="S74" s="7">
        <f t="shared" si="16"/>
        <v>0</v>
      </c>
    </row>
    <row r="75" spans="1:19">
      <c r="B75" s="6" t="s">
        <v>11</v>
      </c>
      <c r="C75" s="7">
        <f t="shared" si="21"/>
        <v>24527399.403000001</v>
      </c>
      <c r="D75" s="38">
        <f>'2010-2012 Reg Asset Proj (2)'!H57</f>
        <v>6580</v>
      </c>
      <c r="E75" s="7">
        <v>0</v>
      </c>
      <c r="F75" s="2">
        <f t="shared" si="18"/>
        <v>24530689.403000001</v>
      </c>
      <c r="G75" s="10">
        <f t="shared" si="19"/>
        <v>6.1618300000000001E-3</v>
      </c>
      <c r="H75" s="2">
        <f t="shared" si="20"/>
        <v>151154</v>
      </c>
      <c r="I75" s="2">
        <f t="shared" si="17"/>
        <v>24685133.403000001</v>
      </c>
      <c r="J75" s="2">
        <f t="shared" ref="J75:J106" si="22">+H75+J74</f>
        <v>632810</v>
      </c>
      <c r="R75" s="7">
        <f t="shared" ref="R75:R106" si="23">+D75+H75</f>
        <v>157734</v>
      </c>
      <c r="S75" s="7">
        <f t="shared" ref="S75:S106" si="24">+E75</f>
        <v>0</v>
      </c>
    </row>
    <row r="76" spans="1:19">
      <c r="B76" s="6" t="s">
        <v>37</v>
      </c>
      <c r="C76" s="7">
        <f t="shared" si="21"/>
        <v>24685133.403000001</v>
      </c>
      <c r="D76" s="38">
        <f>'2010-2012 Reg Asset Proj (2)'!I57</f>
        <v>8080</v>
      </c>
      <c r="E76" s="7">
        <v>0</v>
      </c>
      <c r="F76" s="2">
        <f t="shared" si="18"/>
        <v>24689173.403000001</v>
      </c>
      <c r="G76" s="10">
        <f t="shared" si="19"/>
        <v>6.1618300000000001E-3</v>
      </c>
      <c r="H76" s="2">
        <f t="shared" si="20"/>
        <v>152130</v>
      </c>
      <c r="I76" s="2">
        <f t="shared" si="17"/>
        <v>24845343.403000001</v>
      </c>
      <c r="J76" s="2">
        <f t="shared" si="22"/>
        <v>784940</v>
      </c>
      <c r="R76" s="7">
        <f t="shared" si="23"/>
        <v>160210</v>
      </c>
      <c r="S76" s="7">
        <f t="shared" si="24"/>
        <v>0</v>
      </c>
    </row>
    <row r="77" spans="1:19">
      <c r="B77" s="6" t="s">
        <v>38</v>
      </c>
      <c r="C77" s="7">
        <f t="shared" si="21"/>
        <v>24845343.403000001</v>
      </c>
      <c r="D77" s="38">
        <f>'2010-2012 Reg Asset Proj (2)'!J57</f>
        <v>56580</v>
      </c>
      <c r="E77" s="7">
        <v>0</v>
      </c>
      <c r="F77" s="2">
        <f t="shared" si="18"/>
        <v>24873633.403000001</v>
      </c>
      <c r="G77" s="10">
        <f t="shared" si="19"/>
        <v>6.1618300000000001E-3</v>
      </c>
      <c r="H77" s="2">
        <f t="shared" si="20"/>
        <v>153267</v>
      </c>
      <c r="I77" s="2">
        <f t="shared" si="17"/>
        <v>25055190.403000001</v>
      </c>
      <c r="J77" s="2">
        <f t="shared" si="22"/>
        <v>938207</v>
      </c>
      <c r="R77" s="7">
        <f t="shared" si="23"/>
        <v>209847</v>
      </c>
      <c r="S77" s="7">
        <f t="shared" si="24"/>
        <v>0</v>
      </c>
    </row>
    <row r="78" spans="1:19">
      <c r="B78" s="6" t="s">
        <v>14</v>
      </c>
      <c r="C78" s="7">
        <f t="shared" si="21"/>
        <v>25055190.403000001</v>
      </c>
      <c r="D78" s="38">
        <f>'2010-2012 Reg Asset Proj (2)'!K57</f>
        <v>206580</v>
      </c>
      <c r="E78" s="7">
        <v>0</v>
      </c>
      <c r="F78" s="2">
        <f t="shared" si="18"/>
        <v>25158480.403000001</v>
      </c>
      <c r="G78" s="10">
        <f t="shared" si="19"/>
        <v>6.1618300000000001E-3</v>
      </c>
      <c r="H78" s="2">
        <f t="shared" si="20"/>
        <v>155022</v>
      </c>
      <c r="I78" s="2">
        <f t="shared" si="17"/>
        <v>25416792.403000001</v>
      </c>
      <c r="J78" s="2">
        <f t="shared" si="22"/>
        <v>1093229</v>
      </c>
      <c r="R78" s="7">
        <f t="shared" si="23"/>
        <v>361602</v>
      </c>
      <c r="S78" s="7">
        <f t="shared" si="24"/>
        <v>0</v>
      </c>
    </row>
    <row r="79" spans="1:19">
      <c r="B79" s="6" t="s">
        <v>36</v>
      </c>
      <c r="C79" s="7">
        <f t="shared" si="21"/>
        <v>25416792.403000001</v>
      </c>
      <c r="D79" s="38">
        <f>'2010-2012 Reg Asset Proj (2)'!L57</f>
        <v>158580</v>
      </c>
      <c r="E79" s="7">
        <v>0</v>
      </c>
      <c r="F79" s="2">
        <f t="shared" si="18"/>
        <v>25496082.403000001</v>
      </c>
      <c r="G79" s="10">
        <f t="shared" si="19"/>
        <v>6.1618300000000001E-3</v>
      </c>
      <c r="H79" s="2">
        <f t="shared" si="20"/>
        <v>157103</v>
      </c>
      <c r="I79" s="2">
        <f t="shared" si="17"/>
        <v>25732475.403000001</v>
      </c>
      <c r="J79" s="2">
        <f t="shared" si="22"/>
        <v>1250332</v>
      </c>
      <c r="R79" s="7">
        <f t="shared" si="23"/>
        <v>315683</v>
      </c>
      <c r="S79" s="7">
        <f t="shared" si="24"/>
        <v>0</v>
      </c>
    </row>
    <row r="80" spans="1:19">
      <c r="B80" s="6" t="s">
        <v>16</v>
      </c>
      <c r="C80" s="7">
        <f>+I79</f>
        <v>25732475.403000001</v>
      </c>
      <c r="D80" s="38">
        <f>'2010-2012 Reg Asset Proj (2)'!M57</f>
        <v>1141580</v>
      </c>
      <c r="E80" s="7">
        <v>0</v>
      </c>
      <c r="F80" s="2">
        <f t="shared" si="18"/>
        <v>26303265.403000001</v>
      </c>
      <c r="G80" s="10">
        <f t="shared" si="19"/>
        <v>6.1618300000000001E-3</v>
      </c>
      <c r="H80" s="2">
        <f t="shared" si="20"/>
        <v>162076</v>
      </c>
      <c r="I80" s="2">
        <f t="shared" si="17"/>
        <v>27036131.403000001</v>
      </c>
      <c r="J80" s="2">
        <f t="shared" si="22"/>
        <v>1412408</v>
      </c>
      <c r="R80" s="7">
        <f t="shared" si="23"/>
        <v>1303656</v>
      </c>
      <c r="S80" s="7">
        <f t="shared" si="24"/>
        <v>0</v>
      </c>
    </row>
    <row r="81" spans="1:19">
      <c r="B81" s="6" t="s">
        <v>17</v>
      </c>
      <c r="C81" s="7">
        <f t="shared" si="21"/>
        <v>27036131.403000001</v>
      </c>
      <c r="D81" s="38">
        <f>'2010-2012 Reg Asset Proj (2)'!N57</f>
        <v>156580</v>
      </c>
      <c r="E81" s="7">
        <v>0</v>
      </c>
      <c r="F81" s="2">
        <f t="shared" si="18"/>
        <v>27114421.403000001</v>
      </c>
      <c r="G81" s="10">
        <f t="shared" si="19"/>
        <v>6.1618300000000001E-3</v>
      </c>
      <c r="H81" s="2">
        <f t="shared" si="20"/>
        <v>167074</v>
      </c>
      <c r="I81" s="2">
        <f t="shared" si="17"/>
        <v>27359785.403000001</v>
      </c>
      <c r="J81" s="2">
        <f t="shared" si="22"/>
        <v>1579482</v>
      </c>
      <c r="R81" s="7">
        <f t="shared" si="23"/>
        <v>323654</v>
      </c>
      <c r="S81" s="7">
        <f t="shared" si="24"/>
        <v>0</v>
      </c>
    </row>
    <row r="82" spans="1:19">
      <c r="B82" s="19" t="s">
        <v>18</v>
      </c>
      <c r="C82" s="7">
        <f t="shared" si="21"/>
        <v>27359785.403000001</v>
      </c>
      <c r="D82" s="38">
        <f>'2010-2012 Reg Asset Proj (2)'!O57</f>
        <v>158580</v>
      </c>
      <c r="E82" s="7">
        <v>0</v>
      </c>
      <c r="F82" s="2">
        <f t="shared" si="18"/>
        <v>27439075.403000001</v>
      </c>
      <c r="G82" s="10">
        <f t="shared" si="19"/>
        <v>6.1618300000000001E-3</v>
      </c>
      <c r="H82" s="2">
        <f t="shared" si="20"/>
        <v>169075</v>
      </c>
      <c r="I82" s="2">
        <f t="shared" si="17"/>
        <v>27687440.403000001</v>
      </c>
      <c r="J82" s="2">
        <f t="shared" si="22"/>
        <v>1748557</v>
      </c>
      <c r="O82" s="7">
        <f>SUM(D71:D82)</f>
        <v>13124545.032999998</v>
      </c>
      <c r="P82" s="7">
        <f>SUM(R71:R82)</f>
        <v>14873102.032999998</v>
      </c>
      <c r="Q82" s="7">
        <f>SUM(E71:E82)</f>
        <v>0</v>
      </c>
      <c r="R82" s="7">
        <f t="shared" si="23"/>
        <v>327655</v>
      </c>
      <c r="S82" s="7">
        <f t="shared" si="24"/>
        <v>0</v>
      </c>
    </row>
    <row r="83" spans="1:19">
      <c r="A83" s="1">
        <f>A71+1</f>
        <v>2012</v>
      </c>
      <c r="B83" s="6" t="s">
        <v>7</v>
      </c>
      <c r="C83" s="7">
        <f t="shared" si="21"/>
        <v>27687440.403000001</v>
      </c>
      <c r="D83" s="7"/>
      <c r="E83" s="7">
        <v>0</v>
      </c>
      <c r="F83" s="2">
        <f t="shared" si="18"/>
        <v>27687440.403000001</v>
      </c>
      <c r="G83" s="10">
        <f t="shared" si="19"/>
        <v>6.1618300000000001E-3</v>
      </c>
      <c r="H83" s="2">
        <f t="shared" si="20"/>
        <v>170605</v>
      </c>
      <c r="I83" s="2">
        <f t="shared" si="17"/>
        <v>27858045.403000001</v>
      </c>
      <c r="J83" s="2">
        <f t="shared" si="22"/>
        <v>1919162</v>
      </c>
      <c r="R83" s="7">
        <f t="shared" si="23"/>
        <v>170605</v>
      </c>
      <c r="S83" s="7">
        <f t="shared" si="24"/>
        <v>0</v>
      </c>
    </row>
    <row r="84" spans="1:19">
      <c r="B84" s="6" t="s">
        <v>8</v>
      </c>
      <c r="C84" s="7">
        <f t="shared" si="21"/>
        <v>27858045.403000001</v>
      </c>
      <c r="D84" s="7"/>
      <c r="E84" s="7">
        <v>0</v>
      </c>
      <c r="F84" s="2">
        <f t="shared" si="18"/>
        <v>27858045.403000001</v>
      </c>
      <c r="G84" s="10">
        <f t="shared" si="19"/>
        <v>6.1618300000000001E-3</v>
      </c>
      <c r="H84" s="2">
        <f t="shared" si="20"/>
        <v>171657</v>
      </c>
      <c r="I84" s="2">
        <f t="shared" si="17"/>
        <v>28029702.403000001</v>
      </c>
      <c r="J84" s="2">
        <f t="shared" si="22"/>
        <v>2090819</v>
      </c>
      <c r="R84" s="7">
        <f t="shared" si="23"/>
        <v>171657</v>
      </c>
      <c r="S84" s="7">
        <f t="shared" si="24"/>
        <v>0</v>
      </c>
    </row>
    <row r="85" spans="1:19">
      <c r="B85" s="6" t="s">
        <v>9</v>
      </c>
      <c r="C85" s="7">
        <f t="shared" si="21"/>
        <v>28029702.403000001</v>
      </c>
      <c r="D85" s="7"/>
      <c r="E85" s="7">
        <v>0</v>
      </c>
      <c r="F85" s="2">
        <f t="shared" si="18"/>
        <v>28029702.403000001</v>
      </c>
      <c r="G85" s="10">
        <f t="shared" si="19"/>
        <v>6.1618300000000001E-3</v>
      </c>
      <c r="H85" s="2">
        <f>ROUND(+F85*G85,0)-500</f>
        <v>172214</v>
      </c>
      <c r="I85" s="2">
        <f t="shared" si="17"/>
        <v>28201916.403000001</v>
      </c>
      <c r="J85" s="2">
        <f t="shared" si="22"/>
        <v>2263033</v>
      </c>
      <c r="R85" s="7">
        <f t="shared" si="23"/>
        <v>172214</v>
      </c>
      <c r="S85" s="7">
        <f t="shared" si="24"/>
        <v>0</v>
      </c>
    </row>
    <row r="86" spans="1:19">
      <c r="B86" s="6" t="s">
        <v>10</v>
      </c>
      <c r="C86" s="7">
        <f t="shared" si="21"/>
        <v>28201916.403000001</v>
      </c>
      <c r="D86" s="7"/>
      <c r="E86" s="7">
        <v>0</v>
      </c>
      <c r="F86" s="2">
        <f t="shared" si="18"/>
        <v>28201916.403000001</v>
      </c>
      <c r="G86" s="10">
        <f t="shared" si="19"/>
        <v>6.1618300000000001E-3</v>
      </c>
      <c r="H86" s="2">
        <f t="shared" si="20"/>
        <v>173775</v>
      </c>
      <c r="I86" s="2">
        <f t="shared" si="17"/>
        <v>28375691.403000001</v>
      </c>
      <c r="J86" s="2">
        <f t="shared" si="22"/>
        <v>2436808</v>
      </c>
      <c r="R86" s="7">
        <f t="shared" si="23"/>
        <v>173775</v>
      </c>
      <c r="S86" s="7">
        <f t="shared" si="24"/>
        <v>0</v>
      </c>
    </row>
    <row r="87" spans="1:19">
      <c r="B87" s="6" t="s">
        <v>11</v>
      </c>
      <c r="C87" s="7">
        <f t="shared" si="21"/>
        <v>28375691.403000001</v>
      </c>
      <c r="D87" s="7"/>
      <c r="E87" s="7">
        <v>0</v>
      </c>
      <c r="F87" s="2">
        <f t="shared" si="18"/>
        <v>28375691.403000001</v>
      </c>
      <c r="G87" s="10">
        <f t="shared" si="19"/>
        <v>6.1618300000000001E-3</v>
      </c>
      <c r="H87" s="2">
        <f t="shared" si="20"/>
        <v>174846</v>
      </c>
      <c r="I87" s="2">
        <f t="shared" si="17"/>
        <v>28550537.403000001</v>
      </c>
      <c r="J87" s="2">
        <f t="shared" si="22"/>
        <v>2611654</v>
      </c>
      <c r="R87" s="7">
        <f t="shared" si="23"/>
        <v>174846</v>
      </c>
      <c r="S87" s="7">
        <f t="shared" si="24"/>
        <v>0</v>
      </c>
    </row>
    <row r="88" spans="1:19">
      <c r="B88" s="6" t="s">
        <v>37</v>
      </c>
      <c r="C88" s="7">
        <f t="shared" si="21"/>
        <v>28550537.403000001</v>
      </c>
      <c r="D88" s="7"/>
      <c r="E88" s="7">
        <v>0</v>
      </c>
      <c r="F88" s="2">
        <f t="shared" si="18"/>
        <v>28550537.403000001</v>
      </c>
      <c r="G88" s="10">
        <f t="shared" si="19"/>
        <v>6.1618300000000001E-3</v>
      </c>
      <c r="H88" s="2">
        <f>ROUND(+F88*G88,0)-800</f>
        <v>175124</v>
      </c>
      <c r="I88" s="2">
        <f t="shared" si="17"/>
        <v>28725661.403000001</v>
      </c>
      <c r="J88" s="2">
        <f t="shared" si="22"/>
        <v>2786778</v>
      </c>
      <c r="R88" s="7">
        <f t="shared" si="23"/>
        <v>175124</v>
      </c>
      <c r="S88" s="7">
        <f t="shared" si="24"/>
        <v>0</v>
      </c>
    </row>
    <row r="89" spans="1:19">
      <c r="B89" s="6" t="s">
        <v>38</v>
      </c>
      <c r="C89" s="7">
        <f t="shared" si="21"/>
        <v>28725661.403000001</v>
      </c>
      <c r="D89" s="7"/>
      <c r="E89" s="7">
        <v>0</v>
      </c>
      <c r="F89" s="2">
        <f t="shared" si="18"/>
        <v>28725661.403000001</v>
      </c>
      <c r="G89" s="10">
        <f t="shared" si="19"/>
        <v>6.1618300000000001E-3</v>
      </c>
      <c r="H89" s="2">
        <f t="shared" si="20"/>
        <v>177003</v>
      </c>
      <c r="I89" s="2">
        <f t="shared" si="17"/>
        <v>28902664.403000001</v>
      </c>
      <c r="J89" s="2">
        <f t="shared" si="22"/>
        <v>2963781</v>
      </c>
      <c r="R89" s="7">
        <f t="shared" si="23"/>
        <v>177003</v>
      </c>
      <c r="S89" s="7">
        <f t="shared" si="24"/>
        <v>0</v>
      </c>
    </row>
    <row r="90" spans="1:19">
      <c r="B90" s="6" t="s">
        <v>14</v>
      </c>
      <c r="C90" s="7">
        <f t="shared" si="21"/>
        <v>28902664.403000001</v>
      </c>
      <c r="D90" s="7"/>
      <c r="E90" s="7">
        <v>0</v>
      </c>
      <c r="F90" s="2">
        <f t="shared" si="18"/>
        <v>28902664.403000001</v>
      </c>
      <c r="G90" s="10">
        <f t="shared" si="19"/>
        <v>6.1618300000000001E-3</v>
      </c>
      <c r="H90" s="2">
        <f t="shared" si="20"/>
        <v>178093</v>
      </c>
      <c r="I90" s="2">
        <f t="shared" si="17"/>
        <v>29080757.403000001</v>
      </c>
      <c r="J90" s="2">
        <f t="shared" si="22"/>
        <v>3141874</v>
      </c>
      <c r="R90" s="7">
        <f t="shared" si="23"/>
        <v>178093</v>
      </c>
      <c r="S90" s="7">
        <f t="shared" si="24"/>
        <v>0</v>
      </c>
    </row>
    <row r="91" spans="1:19">
      <c r="B91" s="6" t="s">
        <v>36</v>
      </c>
      <c r="C91" s="7">
        <f t="shared" si="21"/>
        <v>29080757.403000001</v>
      </c>
      <c r="D91" s="7"/>
      <c r="E91" s="7">
        <v>0</v>
      </c>
      <c r="F91" s="2">
        <f t="shared" si="18"/>
        <v>29080757.403000001</v>
      </c>
      <c r="G91" s="10">
        <f t="shared" si="19"/>
        <v>6.1618300000000001E-3</v>
      </c>
      <c r="H91" s="2">
        <f t="shared" si="20"/>
        <v>179191</v>
      </c>
      <c r="I91" s="2">
        <f t="shared" si="17"/>
        <v>29259948.403000001</v>
      </c>
      <c r="J91" s="2">
        <f t="shared" si="22"/>
        <v>3321065</v>
      </c>
      <c r="R91" s="7">
        <f t="shared" si="23"/>
        <v>179191</v>
      </c>
      <c r="S91" s="7">
        <f t="shared" si="24"/>
        <v>0</v>
      </c>
    </row>
    <row r="92" spans="1:19">
      <c r="B92" s="6" t="s">
        <v>16</v>
      </c>
      <c r="C92" s="7">
        <f>+I91</f>
        <v>29259948.403000001</v>
      </c>
      <c r="D92" s="7"/>
      <c r="E92" s="7">
        <v>0</v>
      </c>
      <c r="F92" s="2">
        <f t="shared" si="18"/>
        <v>29259948.403000001</v>
      </c>
      <c r="G92" s="10">
        <f t="shared" si="19"/>
        <v>6.1618300000000001E-3</v>
      </c>
      <c r="H92" s="2">
        <f>ROUND(+F92*G92,0)</f>
        <v>180295</v>
      </c>
      <c r="I92" s="2">
        <f t="shared" si="17"/>
        <v>29440243.403000001</v>
      </c>
      <c r="J92" s="2">
        <f t="shared" si="22"/>
        <v>3501360</v>
      </c>
      <c r="R92" s="7">
        <f t="shared" si="23"/>
        <v>180295</v>
      </c>
      <c r="S92" s="7">
        <f t="shared" si="24"/>
        <v>0</v>
      </c>
    </row>
    <row r="93" spans="1:19">
      <c r="B93" s="6" t="s">
        <v>17</v>
      </c>
      <c r="C93" s="7">
        <f t="shared" ref="C93:C156" si="25">+I92</f>
        <v>29440243.403000001</v>
      </c>
      <c r="D93" s="7"/>
      <c r="E93" s="7">
        <v>0</v>
      </c>
      <c r="F93" s="2">
        <f t="shared" si="18"/>
        <v>29440243.403000001</v>
      </c>
      <c r="G93" s="10">
        <f t="shared" si="19"/>
        <v>6.1618300000000001E-3</v>
      </c>
      <c r="H93" s="2">
        <f>ROUND(+F93*G93,0)-1000</f>
        <v>180406</v>
      </c>
      <c r="I93" s="2">
        <f t="shared" si="17"/>
        <v>29620649.403000001</v>
      </c>
      <c r="J93" s="2">
        <f t="shared" si="22"/>
        <v>3681766</v>
      </c>
      <c r="R93" s="7">
        <f t="shared" si="23"/>
        <v>180406</v>
      </c>
      <c r="S93" s="7">
        <f t="shared" si="24"/>
        <v>0</v>
      </c>
    </row>
    <row r="94" spans="1:19">
      <c r="B94" s="19" t="s">
        <v>18</v>
      </c>
      <c r="C94" s="7">
        <f t="shared" si="25"/>
        <v>29620649.403000001</v>
      </c>
      <c r="D94" s="7"/>
      <c r="E94" s="7">
        <v>0</v>
      </c>
      <c r="F94" s="2">
        <f t="shared" si="18"/>
        <v>29620649.403000001</v>
      </c>
      <c r="G94" s="10">
        <f t="shared" si="19"/>
        <v>6.1618300000000001E-3</v>
      </c>
      <c r="H94" s="2">
        <f>ROUND(+F94*G94,0)</f>
        <v>182517</v>
      </c>
      <c r="I94" s="2">
        <f t="shared" si="17"/>
        <v>29803166.403000001</v>
      </c>
      <c r="J94" s="2">
        <f t="shared" si="22"/>
        <v>3864283</v>
      </c>
      <c r="O94" s="7">
        <f>SUM(D83:D94)</f>
        <v>0</v>
      </c>
      <c r="P94" s="7">
        <f>SUM(R83:R94)</f>
        <v>2115726</v>
      </c>
      <c r="Q94" s="7">
        <f>SUM(E83:E94)</f>
        <v>0</v>
      </c>
      <c r="R94" s="7">
        <f t="shared" si="23"/>
        <v>182517</v>
      </c>
      <c r="S94" s="7">
        <f t="shared" si="24"/>
        <v>0</v>
      </c>
    </row>
    <row r="95" spans="1:19">
      <c r="A95" s="1">
        <f>A83+1</f>
        <v>2013</v>
      </c>
      <c r="B95" s="6" t="s">
        <v>7</v>
      </c>
      <c r="C95" s="7">
        <f t="shared" si="25"/>
        <v>29803166.403000001</v>
      </c>
      <c r="D95" s="7">
        <v>0</v>
      </c>
      <c r="E95" s="7">
        <v>0</v>
      </c>
      <c r="F95" s="2">
        <f t="shared" si="18"/>
        <v>29803166.403000001</v>
      </c>
      <c r="G95" s="10">
        <f t="shared" si="19"/>
        <v>6.1618300000000001E-3</v>
      </c>
      <c r="H95" s="2">
        <f t="shared" si="20"/>
        <v>183642</v>
      </c>
      <c r="I95" s="2">
        <f t="shared" si="17"/>
        <v>29986808.403000001</v>
      </c>
      <c r="J95" s="2">
        <f t="shared" si="22"/>
        <v>4047925</v>
      </c>
      <c r="R95" s="7">
        <f t="shared" si="23"/>
        <v>183642</v>
      </c>
      <c r="S95" s="7">
        <f t="shared" si="24"/>
        <v>0</v>
      </c>
    </row>
    <row r="96" spans="1:19">
      <c r="B96" s="6" t="s">
        <v>8</v>
      </c>
      <c r="C96" s="7">
        <f t="shared" si="25"/>
        <v>29986808.403000001</v>
      </c>
      <c r="D96" s="7">
        <v>0</v>
      </c>
      <c r="E96" s="7">
        <v>0</v>
      </c>
      <c r="F96" s="2">
        <f t="shared" si="18"/>
        <v>29986808.403000001</v>
      </c>
      <c r="G96" s="10">
        <f t="shared" si="19"/>
        <v>6.1618300000000001E-3</v>
      </c>
      <c r="H96" s="2">
        <f t="shared" si="20"/>
        <v>184774</v>
      </c>
      <c r="I96" s="2">
        <f t="shared" si="17"/>
        <v>30171582.403000001</v>
      </c>
      <c r="J96" s="2">
        <f t="shared" si="22"/>
        <v>4232699</v>
      </c>
      <c r="R96" s="7">
        <f t="shared" si="23"/>
        <v>184774</v>
      </c>
      <c r="S96" s="7">
        <f t="shared" si="24"/>
        <v>0</v>
      </c>
    </row>
    <row r="97" spans="1:19">
      <c r="B97" s="6" t="s">
        <v>9</v>
      </c>
      <c r="C97" s="7">
        <f t="shared" si="25"/>
        <v>30171582.403000001</v>
      </c>
      <c r="D97" s="7">
        <v>0</v>
      </c>
      <c r="E97" s="7">
        <v>0</v>
      </c>
      <c r="F97" s="2">
        <f t="shared" si="18"/>
        <v>30171582.403000001</v>
      </c>
      <c r="G97" s="10">
        <f t="shared" si="19"/>
        <v>6.1618300000000001E-3</v>
      </c>
      <c r="H97" s="2">
        <f t="shared" si="20"/>
        <v>185912</v>
      </c>
      <c r="I97" s="2">
        <f t="shared" si="17"/>
        <v>30357494.403000001</v>
      </c>
      <c r="J97" s="2">
        <f t="shared" si="22"/>
        <v>4418611</v>
      </c>
      <c r="R97" s="7">
        <f t="shared" si="23"/>
        <v>185912</v>
      </c>
      <c r="S97" s="7">
        <f t="shared" si="24"/>
        <v>0</v>
      </c>
    </row>
    <row r="98" spans="1:19">
      <c r="B98" s="6" t="s">
        <v>10</v>
      </c>
      <c r="C98" s="7">
        <f t="shared" si="25"/>
        <v>30357494.403000001</v>
      </c>
      <c r="D98" s="7">
        <v>0</v>
      </c>
      <c r="E98" s="7">
        <v>0</v>
      </c>
      <c r="F98" s="2">
        <f t="shared" si="18"/>
        <v>30357494.403000001</v>
      </c>
      <c r="G98" s="10">
        <f t="shared" si="19"/>
        <v>6.1618300000000001E-3</v>
      </c>
      <c r="H98" s="2">
        <f t="shared" si="20"/>
        <v>187058</v>
      </c>
      <c r="I98" s="2">
        <f t="shared" si="17"/>
        <v>30544552.403000001</v>
      </c>
      <c r="J98" s="2">
        <f t="shared" si="22"/>
        <v>4605669</v>
      </c>
      <c r="R98" s="7">
        <f t="shared" si="23"/>
        <v>187058</v>
      </c>
      <c r="S98" s="7">
        <f t="shared" si="24"/>
        <v>0</v>
      </c>
    </row>
    <row r="99" spans="1:19">
      <c r="B99" s="6" t="s">
        <v>11</v>
      </c>
      <c r="C99" s="7">
        <f t="shared" si="25"/>
        <v>30544552.403000001</v>
      </c>
      <c r="D99" s="7">
        <v>0</v>
      </c>
      <c r="E99" s="7">
        <v>0</v>
      </c>
      <c r="F99" s="2">
        <f t="shared" si="18"/>
        <v>30544552.403000001</v>
      </c>
      <c r="G99" s="10">
        <f t="shared" si="19"/>
        <v>6.1618300000000001E-3</v>
      </c>
      <c r="H99" s="2">
        <f t="shared" ref="H99:H130" si="26">ROUND(+F99*G99,0)</f>
        <v>188210</v>
      </c>
      <c r="I99" s="2">
        <f t="shared" si="17"/>
        <v>30732762.403000001</v>
      </c>
      <c r="J99" s="2">
        <f t="shared" si="22"/>
        <v>4793879</v>
      </c>
      <c r="R99" s="7">
        <f t="shared" si="23"/>
        <v>188210</v>
      </c>
      <c r="S99" s="7">
        <f t="shared" si="24"/>
        <v>0</v>
      </c>
    </row>
    <row r="100" spans="1:19">
      <c r="B100" s="6" t="s">
        <v>37</v>
      </c>
      <c r="C100" s="7">
        <f t="shared" si="25"/>
        <v>30732762.403000001</v>
      </c>
      <c r="D100" s="7">
        <v>0</v>
      </c>
      <c r="E100" s="7">
        <v>0</v>
      </c>
      <c r="F100" s="2">
        <f t="shared" si="18"/>
        <v>30732762.403000001</v>
      </c>
      <c r="G100" s="10">
        <f t="shared" si="19"/>
        <v>6.1618300000000001E-3</v>
      </c>
      <c r="H100" s="2">
        <f t="shared" si="26"/>
        <v>189370</v>
      </c>
      <c r="I100" s="2">
        <f t="shared" si="17"/>
        <v>30922132.403000001</v>
      </c>
      <c r="J100" s="2">
        <f t="shared" si="22"/>
        <v>4983249</v>
      </c>
      <c r="R100" s="7">
        <f t="shared" si="23"/>
        <v>189370</v>
      </c>
      <c r="S100" s="7">
        <f t="shared" si="24"/>
        <v>0</v>
      </c>
    </row>
    <row r="101" spans="1:19">
      <c r="B101" s="6" t="s">
        <v>38</v>
      </c>
      <c r="C101" s="7">
        <f t="shared" si="25"/>
        <v>30922132.403000001</v>
      </c>
      <c r="D101" s="7">
        <v>0</v>
      </c>
      <c r="E101" s="7">
        <v>0</v>
      </c>
      <c r="F101" s="2">
        <f t="shared" ref="F101:F132" si="27">(D101+(C101*2))*0.5</f>
        <v>30922132.403000001</v>
      </c>
      <c r="G101" s="10">
        <f t="shared" si="19"/>
        <v>6.1618300000000001E-3</v>
      </c>
      <c r="H101" s="2">
        <f t="shared" si="26"/>
        <v>190537</v>
      </c>
      <c r="I101" s="2">
        <f t="shared" ref="I101:I132" si="28">+C101+D101+H101-E101</f>
        <v>31112669.403000001</v>
      </c>
      <c r="J101" s="2">
        <f t="shared" si="22"/>
        <v>5173786</v>
      </c>
      <c r="R101" s="7">
        <f t="shared" si="23"/>
        <v>190537</v>
      </c>
      <c r="S101" s="7">
        <f t="shared" si="24"/>
        <v>0</v>
      </c>
    </row>
    <row r="102" spans="1:19">
      <c r="B102" s="6" t="s">
        <v>14</v>
      </c>
      <c r="C102" s="7">
        <f t="shared" si="25"/>
        <v>31112669.403000001</v>
      </c>
      <c r="D102" s="7">
        <v>0</v>
      </c>
      <c r="E102" s="7">
        <v>0</v>
      </c>
      <c r="F102" s="2">
        <f t="shared" si="27"/>
        <v>31112669.403000001</v>
      </c>
      <c r="G102" s="10">
        <f t="shared" si="19"/>
        <v>6.1618300000000001E-3</v>
      </c>
      <c r="H102" s="2">
        <f t="shared" si="26"/>
        <v>191711</v>
      </c>
      <c r="I102" s="2">
        <f t="shared" si="28"/>
        <v>31304380.403000001</v>
      </c>
      <c r="J102" s="2">
        <f t="shared" si="22"/>
        <v>5365497</v>
      </c>
      <c r="R102" s="7">
        <f t="shared" si="23"/>
        <v>191711</v>
      </c>
      <c r="S102" s="7">
        <f t="shared" si="24"/>
        <v>0</v>
      </c>
    </row>
    <row r="103" spans="1:19">
      <c r="B103" s="6" t="s">
        <v>36</v>
      </c>
      <c r="C103" s="7">
        <f t="shared" si="25"/>
        <v>31304380.403000001</v>
      </c>
      <c r="D103" s="7">
        <v>0</v>
      </c>
      <c r="E103" s="7">
        <v>0</v>
      </c>
      <c r="F103" s="2">
        <f t="shared" si="27"/>
        <v>31304380.403000001</v>
      </c>
      <c r="G103" s="10">
        <f t="shared" ref="G103:G134" si="29">ROUND(((1+$A$2)^(1/12))-1,8)</f>
        <v>6.1618300000000001E-3</v>
      </c>
      <c r="H103" s="2">
        <f t="shared" si="26"/>
        <v>192892</v>
      </c>
      <c r="I103" s="2">
        <f t="shared" si="28"/>
        <v>31497272.403000001</v>
      </c>
      <c r="J103" s="2">
        <f t="shared" si="22"/>
        <v>5558389</v>
      </c>
      <c r="R103" s="7">
        <f t="shared" si="23"/>
        <v>192892</v>
      </c>
      <c r="S103" s="7">
        <f t="shared" si="24"/>
        <v>0</v>
      </c>
    </row>
    <row r="104" spans="1:19">
      <c r="B104" s="6" t="s">
        <v>16</v>
      </c>
      <c r="C104" s="7">
        <f t="shared" si="25"/>
        <v>31497272.403000001</v>
      </c>
      <c r="D104" s="7">
        <v>0</v>
      </c>
      <c r="E104" s="7">
        <v>0</v>
      </c>
      <c r="F104" s="2">
        <f t="shared" si="27"/>
        <v>31497272.403000001</v>
      </c>
      <c r="G104" s="10">
        <f t="shared" si="29"/>
        <v>6.1618300000000001E-3</v>
      </c>
      <c r="H104" s="2">
        <f t="shared" si="26"/>
        <v>194081</v>
      </c>
      <c r="I104" s="2">
        <f t="shared" si="28"/>
        <v>31691353.403000001</v>
      </c>
      <c r="J104" s="2">
        <f t="shared" si="22"/>
        <v>5752470</v>
      </c>
      <c r="R104" s="7">
        <f t="shared" si="23"/>
        <v>194081</v>
      </c>
      <c r="S104" s="7">
        <f t="shared" si="24"/>
        <v>0</v>
      </c>
    </row>
    <row r="105" spans="1:19">
      <c r="B105" s="6" t="s">
        <v>17</v>
      </c>
      <c r="C105" s="7">
        <f t="shared" si="25"/>
        <v>31691353.403000001</v>
      </c>
      <c r="D105" s="7">
        <v>0</v>
      </c>
      <c r="E105" s="7">
        <v>0</v>
      </c>
      <c r="F105" s="2">
        <f t="shared" si="27"/>
        <v>31691353.403000001</v>
      </c>
      <c r="G105" s="10">
        <f t="shared" si="29"/>
        <v>6.1618300000000001E-3</v>
      </c>
      <c r="H105" s="2">
        <f t="shared" si="26"/>
        <v>195277</v>
      </c>
      <c r="I105" s="2">
        <f t="shared" si="28"/>
        <v>31886630.403000001</v>
      </c>
      <c r="J105" s="2">
        <f t="shared" si="22"/>
        <v>5947747</v>
      </c>
      <c r="R105" s="7">
        <f t="shared" si="23"/>
        <v>195277</v>
      </c>
      <c r="S105" s="7">
        <f t="shared" si="24"/>
        <v>0</v>
      </c>
    </row>
    <row r="106" spans="1:19">
      <c r="B106" s="19" t="s">
        <v>18</v>
      </c>
      <c r="C106" s="7">
        <f t="shared" si="25"/>
        <v>31886630.403000001</v>
      </c>
      <c r="D106" s="7">
        <v>0</v>
      </c>
      <c r="E106" s="7">
        <v>0</v>
      </c>
      <c r="F106" s="2">
        <f t="shared" si="27"/>
        <v>31886630.403000001</v>
      </c>
      <c r="G106" s="10">
        <f t="shared" si="29"/>
        <v>6.1618300000000001E-3</v>
      </c>
      <c r="H106" s="2">
        <f t="shared" si="26"/>
        <v>196480</v>
      </c>
      <c r="I106" s="2">
        <f t="shared" si="28"/>
        <v>32083110.403000001</v>
      </c>
      <c r="J106" s="2">
        <f t="shared" si="22"/>
        <v>6144227</v>
      </c>
      <c r="O106" s="7">
        <f>SUM(D95:D106)</f>
        <v>0</v>
      </c>
      <c r="P106" s="7">
        <f>SUM(R95:R106)</f>
        <v>2279944</v>
      </c>
      <c r="Q106" s="7">
        <f>SUM(E95:E106)</f>
        <v>0</v>
      </c>
      <c r="R106" s="7">
        <f t="shared" si="23"/>
        <v>196480</v>
      </c>
      <c r="S106" s="7">
        <f t="shared" si="24"/>
        <v>0</v>
      </c>
    </row>
    <row r="107" spans="1:19">
      <c r="A107" s="1">
        <f>A95+1</f>
        <v>2014</v>
      </c>
      <c r="B107" s="6" t="s">
        <v>7</v>
      </c>
      <c r="C107" s="7">
        <f t="shared" si="25"/>
        <v>32083110.403000001</v>
      </c>
      <c r="D107" s="7">
        <v>0</v>
      </c>
      <c r="E107" s="7">
        <v>0</v>
      </c>
      <c r="F107" s="2">
        <f t="shared" si="27"/>
        <v>32083110.403000001</v>
      </c>
      <c r="G107" s="10">
        <f t="shared" si="29"/>
        <v>6.1618300000000001E-3</v>
      </c>
      <c r="H107" s="2">
        <f t="shared" si="26"/>
        <v>197691</v>
      </c>
      <c r="I107" s="2">
        <f t="shared" si="28"/>
        <v>32280801.403000001</v>
      </c>
      <c r="J107" s="2">
        <f t="shared" ref="J107:J138" si="30">+H107+J106</f>
        <v>6341918</v>
      </c>
      <c r="R107" s="7">
        <f t="shared" ref="R107:R138" si="31">+D107+H107</f>
        <v>197691</v>
      </c>
      <c r="S107" s="7">
        <f t="shared" ref="S107:S138" si="32">+E107</f>
        <v>0</v>
      </c>
    </row>
    <row r="108" spans="1:19">
      <c r="B108" s="6" t="s">
        <v>8</v>
      </c>
      <c r="C108" s="7">
        <f t="shared" si="25"/>
        <v>32280801.403000001</v>
      </c>
      <c r="D108" s="7">
        <v>0</v>
      </c>
      <c r="E108" s="7">
        <v>0</v>
      </c>
      <c r="F108" s="2">
        <f t="shared" si="27"/>
        <v>32280801.403000001</v>
      </c>
      <c r="G108" s="10">
        <f t="shared" si="29"/>
        <v>6.1618300000000001E-3</v>
      </c>
      <c r="H108" s="2">
        <f t="shared" si="26"/>
        <v>198909</v>
      </c>
      <c r="I108" s="2">
        <f t="shared" si="28"/>
        <v>32479710.403000001</v>
      </c>
      <c r="J108" s="2">
        <f t="shared" si="30"/>
        <v>6540827</v>
      </c>
      <c r="R108" s="7">
        <f t="shared" si="31"/>
        <v>198909</v>
      </c>
      <c r="S108" s="7">
        <f t="shared" si="32"/>
        <v>0</v>
      </c>
    </row>
    <row r="109" spans="1:19">
      <c r="B109" s="6" t="s">
        <v>9</v>
      </c>
      <c r="C109" s="7">
        <f t="shared" si="25"/>
        <v>32479710.403000001</v>
      </c>
      <c r="D109" s="7">
        <v>0</v>
      </c>
      <c r="E109" s="7">
        <v>0</v>
      </c>
      <c r="F109" s="2">
        <f t="shared" si="27"/>
        <v>32479710.403000001</v>
      </c>
      <c r="G109" s="10">
        <f t="shared" si="29"/>
        <v>6.1618300000000001E-3</v>
      </c>
      <c r="H109" s="2">
        <f t="shared" si="26"/>
        <v>200134</v>
      </c>
      <c r="I109" s="2">
        <f t="shared" si="28"/>
        <v>32679844.403000001</v>
      </c>
      <c r="J109" s="2">
        <f t="shared" si="30"/>
        <v>6740961</v>
      </c>
      <c r="R109" s="7">
        <f t="shared" si="31"/>
        <v>200134</v>
      </c>
      <c r="S109" s="7">
        <f t="shared" si="32"/>
        <v>0</v>
      </c>
    </row>
    <row r="110" spans="1:19">
      <c r="B110" s="6" t="s">
        <v>10</v>
      </c>
      <c r="C110" s="7">
        <f t="shared" si="25"/>
        <v>32679844.403000001</v>
      </c>
      <c r="D110" s="7">
        <v>0</v>
      </c>
      <c r="E110" s="7">
        <v>0</v>
      </c>
      <c r="F110" s="2">
        <f t="shared" si="27"/>
        <v>32679844.403000001</v>
      </c>
      <c r="G110" s="10">
        <f t="shared" si="29"/>
        <v>6.1618300000000001E-3</v>
      </c>
      <c r="H110" s="2">
        <f t="shared" si="26"/>
        <v>201368</v>
      </c>
      <c r="I110" s="2">
        <f t="shared" si="28"/>
        <v>32881212.403000001</v>
      </c>
      <c r="J110" s="2">
        <f t="shared" si="30"/>
        <v>6942329</v>
      </c>
      <c r="R110" s="7">
        <f t="shared" si="31"/>
        <v>201368</v>
      </c>
      <c r="S110" s="7">
        <f t="shared" si="32"/>
        <v>0</v>
      </c>
    </row>
    <row r="111" spans="1:19">
      <c r="B111" s="6" t="s">
        <v>11</v>
      </c>
      <c r="C111" s="7">
        <f t="shared" si="25"/>
        <v>32881212.403000001</v>
      </c>
      <c r="D111" s="7">
        <v>0</v>
      </c>
      <c r="E111" s="7">
        <v>0</v>
      </c>
      <c r="F111" s="2">
        <f t="shared" si="27"/>
        <v>32881212.403000001</v>
      </c>
      <c r="G111" s="10">
        <f t="shared" si="29"/>
        <v>6.1618300000000001E-3</v>
      </c>
      <c r="H111" s="2">
        <f t="shared" si="26"/>
        <v>202608</v>
      </c>
      <c r="I111" s="2">
        <f t="shared" si="28"/>
        <v>33083820.403000001</v>
      </c>
      <c r="J111" s="2">
        <f t="shared" si="30"/>
        <v>7144937</v>
      </c>
      <c r="R111" s="7">
        <f t="shared" si="31"/>
        <v>202608</v>
      </c>
      <c r="S111" s="7">
        <f t="shared" si="32"/>
        <v>0</v>
      </c>
    </row>
    <row r="112" spans="1:19">
      <c r="B112" s="6" t="s">
        <v>37</v>
      </c>
      <c r="C112" s="7">
        <f t="shared" si="25"/>
        <v>33083820.403000001</v>
      </c>
      <c r="D112" s="7">
        <v>0</v>
      </c>
      <c r="E112" s="7">
        <v>0</v>
      </c>
      <c r="F112" s="2">
        <f t="shared" si="27"/>
        <v>33083820.403000001</v>
      </c>
      <c r="G112" s="10">
        <f t="shared" si="29"/>
        <v>6.1618300000000001E-3</v>
      </c>
      <c r="H112" s="2">
        <f t="shared" si="26"/>
        <v>203857</v>
      </c>
      <c r="I112" s="2">
        <f t="shared" si="28"/>
        <v>33287677.403000001</v>
      </c>
      <c r="J112" s="2">
        <f t="shared" si="30"/>
        <v>7348794</v>
      </c>
      <c r="R112" s="7">
        <f t="shared" si="31"/>
        <v>203857</v>
      </c>
      <c r="S112" s="7">
        <f t="shared" si="32"/>
        <v>0</v>
      </c>
    </row>
    <row r="113" spans="1:19">
      <c r="B113" s="6" t="s">
        <v>38</v>
      </c>
      <c r="C113" s="7">
        <f t="shared" si="25"/>
        <v>33287677.403000001</v>
      </c>
      <c r="D113" s="7">
        <v>0</v>
      </c>
      <c r="E113" s="7">
        <v>0</v>
      </c>
      <c r="F113" s="2">
        <f t="shared" si="27"/>
        <v>33287677.403000001</v>
      </c>
      <c r="G113" s="10">
        <f t="shared" si="29"/>
        <v>6.1618300000000001E-3</v>
      </c>
      <c r="H113" s="2">
        <f t="shared" si="26"/>
        <v>205113</v>
      </c>
      <c r="I113" s="2">
        <f t="shared" si="28"/>
        <v>33492790.403000001</v>
      </c>
      <c r="J113" s="2">
        <f t="shared" si="30"/>
        <v>7553907</v>
      </c>
      <c r="R113" s="7">
        <f t="shared" si="31"/>
        <v>205113</v>
      </c>
      <c r="S113" s="7">
        <f t="shared" si="32"/>
        <v>0</v>
      </c>
    </row>
    <row r="114" spans="1:19">
      <c r="B114" s="6" t="s">
        <v>14</v>
      </c>
      <c r="C114" s="7">
        <f t="shared" si="25"/>
        <v>33492790.403000001</v>
      </c>
      <c r="D114" s="7">
        <v>0</v>
      </c>
      <c r="E114" s="7">
        <v>0</v>
      </c>
      <c r="F114" s="2">
        <f t="shared" si="27"/>
        <v>33492790.403000001</v>
      </c>
      <c r="G114" s="10">
        <f t="shared" si="29"/>
        <v>6.1618300000000001E-3</v>
      </c>
      <c r="H114" s="2">
        <f t="shared" si="26"/>
        <v>206377</v>
      </c>
      <c r="I114" s="2">
        <f t="shared" si="28"/>
        <v>33699167.402999997</v>
      </c>
      <c r="J114" s="2">
        <f t="shared" si="30"/>
        <v>7760284</v>
      </c>
      <c r="R114" s="7">
        <f t="shared" si="31"/>
        <v>206377</v>
      </c>
      <c r="S114" s="7">
        <f t="shared" si="32"/>
        <v>0</v>
      </c>
    </row>
    <row r="115" spans="1:19">
      <c r="B115" s="6" t="s">
        <v>36</v>
      </c>
      <c r="C115" s="7">
        <f t="shared" si="25"/>
        <v>33699167.402999997</v>
      </c>
      <c r="D115" s="7">
        <v>0</v>
      </c>
      <c r="E115" s="7">
        <v>0</v>
      </c>
      <c r="F115" s="2">
        <f t="shared" si="27"/>
        <v>33699167.402999997</v>
      </c>
      <c r="G115" s="10">
        <f t="shared" si="29"/>
        <v>6.1618300000000001E-3</v>
      </c>
      <c r="H115" s="2">
        <f t="shared" si="26"/>
        <v>207649</v>
      </c>
      <c r="I115" s="2">
        <f t="shared" si="28"/>
        <v>33906816.402999997</v>
      </c>
      <c r="J115" s="2">
        <f t="shared" si="30"/>
        <v>7967933</v>
      </c>
      <c r="R115" s="7">
        <f t="shared" si="31"/>
        <v>207649</v>
      </c>
      <c r="S115" s="7">
        <f t="shared" si="32"/>
        <v>0</v>
      </c>
    </row>
    <row r="116" spans="1:19">
      <c r="B116" s="6" t="s">
        <v>16</v>
      </c>
      <c r="C116" s="7">
        <f t="shared" si="25"/>
        <v>33906816.402999997</v>
      </c>
      <c r="D116" s="7">
        <v>0</v>
      </c>
      <c r="E116" s="7">
        <v>0</v>
      </c>
      <c r="F116" s="2">
        <f t="shared" si="27"/>
        <v>33906816.402999997</v>
      </c>
      <c r="G116" s="10">
        <f t="shared" si="29"/>
        <v>6.1618300000000001E-3</v>
      </c>
      <c r="H116" s="2">
        <f t="shared" si="26"/>
        <v>208928</v>
      </c>
      <c r="I116" s="2">
        <f t="shared" si="28"/>
        <v>34115744.402999997</v>
      </c>
      <c r="J116" s="2">
        <f t="shared" si="30"/>
        <v>8176861</v>
      </c>
      <c r="R116" s="7">
        <f t="shared" si="31"/>
        <v>208928</v>
      </c>
      <c r="S116" s="7">
        <f t="shared" si="32"/>
        <v>0</v>
      </c>
    </row>
    <row r="117" spans="1:19">
      <c r="B117" s="6" t="s">
        <v>17</v>
      </c>
      <c r="C117" s="7">
        <f t="shared" si="25"/>
        <v>34115744.402999997</v>
      </c>
      <c r="D117" s="7">
        <v>0</v>
      </c>
      <c r="E117" s="7">
        <v>0</v>
      </c>
      <c r="F117" s="2">
        <f t="shared" si="27"/>
        <v>34115744.402999997</v>
      </c>
      <c r="G117" s="10">
        <f t="shared" si="29"/>
        <v>6.1618300000000001E-3</v>
      </c>
      <c r="H117" s="2">
        <f t="shared" si="26"/>
        <v>210215</v>
      </c>
      <c r="I117" s="2">
        <f t="shared" si="28"/>
        <v>34325959.402999997</v>
      </c>
      <c r="J117" s="2">
        <f t="shared" si="30"/>
        <v>8387076</v>
      </c>
      <c r="R117" s="7">
        <f t="shared" si="31"/>
        <v>210215</v>
      </c>
      <c r="S117" s="7">
        <f t="shared" si="32"/>
        <v>0</v>
      </c>
    </row>
    <row r="118" spans="1:19">
      <c r="B118" s="19" t="s">
        <v>18</v>
      </c>
      <c r="C118" s="7">
        <f t="shared" si="25"/>
        <v>34325959.402999997</v>
      </c>
      <c r="D118" s="7">
        <v>0</v>
      </c>
      <c r="E118" s="7">
        <v>0</v>
      </c>
      <c r="F118" s="2">
        <f t="shared" si="27"/>
        <v>34325959.402999997</v>
      </c>
      <c r="G118" s="10">
        <f t="shared" si="29"/>
        <v>6.1618300000000001E-3</v>
      </c>
      <c r="H118" s="2">
        <f t="shared" si="26"/>
        <v>211511</v>
      </c>
      <c r="I118" s="2">
        <f t="shared" si="28"/>
        <v>34537470.402999997</v>
      </c>
      <c r="J118" s="2">
        <f t="shared" si="30"/>
        <v>8598587</v>
      </c>
      <c r="O118" s="7">
        <f>SUM(D107:D118)</f>
        <v>0</v>
      </c>
      <c r="P118" s="7">
        <f>SUM(R107:R118)</f>
        <v>2454360</v>
      </c>
      <c r="Q118" s="7">
        <f>SUM(E107:E118)</f>
        <v>0</v>
      </c>
      <c r="R118" s="7">
        <f t="shared" si="31"/>
        <v>211511</v>
      </c>
      <c r="S118" s="7">
        <f t="shared" si="32"/>
        <v>0</v>
      </c>
    </row>
    <row r="119" spans="1:19">
      <c r="A119" s="1">
        <f>A107+1</f>
        <v>2015</v>
      </c>
      <c r="B119" s="6" t="s">
        <v>7</v>
      </c>
      <c r="C119" s="7">
        <f t="shared" si="25"/>
        <v>34537470.402999997</v>
      </c>
      <c r="D119" s="7">
        <v>0</v>
      </c>
      <c r="E119" s="7">
        <v>0</v>
      </c>
      <c r="F119" s="2">
        <f t="shared" si="27"/>
        <v>34537470.402999997</v>
      </c>
      <c r="G119" s="10">
        <f t="shared" si="29"/>
        <v>6.1618300000000001E-3</v>
      </c>
      <c r="H119" s="2">
        <f t="shared" si="26"/>
        <v>212814</v>
      </c>
      <c r="I119" s="2">
        <f t="shared" si="28"/>
        <v>34750284.402999997</v>
      </c>
      <c r="J119" s="2">
        <f t="shared" si="30"/>
        <v>8811401</v>
      </c>
      <c r="R119" s="7">
        <f t="shared" si="31"/>
        <v>212814</v>
      </c>
      <c r="S119" s="7">
        <f t="shared" si="32"/>
        <v>0</v>
      </c>
    </row>
    <row r="120" spans="1:19">
      <c r="B120" s="6" t="s">
        <v>8</v>
      </c>
      <c r="C120" s="7">
        <f t="shared" si="25"/>
        <v>34750284.402999997</v>
      </c>
      <c r="D120" s="7">
        <v>0</v>
      </c>
      <c r="E120" s="7">
        <v>0</v>
      </c>
      <c r="F120" s="2">
        <f t="shared" si="27"/>
        <v>34750284.402999997</v>
      </c>
      <c r="G120" s="10">
        <f t="shared" si="29"/>
        <v>6.1618300000000001E-3</v>
      </c>
      <c r="H120" s="2">
        <f t="shared" si="26"/>
        <v>214125</v>
      </c>
      <c r="I120" s="2">
        <f t="shared" si="28"/>
        <v>34964409.402999997</v>
      </c>
      <c r="J120" s="2">
        <f t="shared" si="30"/>
        <v>9025526</v>
      </c>
      <c r="R120" s="7">
        <f t="shared" si="31"/>
        <v>214125</v>
      </c>
      <c r="S120" s="7">
        <f t="shared" si="32"/>
        <v>0</v>
      </c>
    </row>
    <row r="121" spans="1:19">
      <c r="B121" s="6" t="s">
        <v>9</v>
      </c>
      <c r="C121" s="7">
        <f t="shared" si="25"/>
        <v>34964409.402999997</v>
      </c>
      <c r="D121" s="7">
        <v>0</v>
      </c>
      <c r="E121" s="7">
        <v>0</v>
      </c>
      <c r="F121" s="2">
        <f t="shared" si="27"/>
        <v>34964409.402999997</v>
      </c>
      <c r="G121" s="10">
        <f t="shared" si="29"/>
        <v>6.1618300000000001E-3</v>
      </c>
      <c r="H121" s="2">
        <f t="shared" si="26"/>
        <v>215445</v>
      </c>
      <c r="I121" s="2">
        <f t="shared" si="28"/>
        <v>35179854.402999997</v>
      </c>
      <c r="J121" s="2">
        <f t="shared" si="30"/>
        <v>9240971</v>
      </c>
      <c r="R121" s="7">
        <f t="shared" si="31"/>
        <v>215445</v>
      </c>
      <c r="S121" s="7">
        <f t="shared" si="32"/>
        <v>0</v>
      </c>
    </row>
    <row r="122" spans="1:19">
      <c r="B122" s="6" t="s">
        <v>10</v>
      </c>
      <c r="C122" s="7">
        <f t="shared" si="25"/>
        <v>35179854.402999997</v>
      </c>
      <c r="D122" s="7">
        <v>0</v>
      </c>
      <c r="E122" s="7">
        <v>0</v>
      </c>
      <c r="F122" s="2">
        <f t="shared" si="27"/>
        <v>35179854.402999997</v>
      </c>
      <c r="G122" s="10">
        <f t="shared" si="29"/>
        <v>6.1618300000000001E-3</v>
      </c>
      <c r="H122" s="2">
        <f t="shared" si="26"/>
        <v>216772</v>
      </c>
      <c r="I122" s="2">
        <f t="shared" si="28"/>
        <v>35396626.402999997</v>
      </c>
      <c r="J122" s="2">
        <f t="shared" si="30"/>
        <v>9457743</v>
      </c>
      <c r="R122" s="7">
        <f t="shared" si="31"/>
        <v>216772</v>
      </c>
      <c r="S122" s="7">
        <f t="shared" si="32"/>
        <v>0</v>
      </c>
    </row>
    <row r="123" spans="1:19">
      <c r="B123" s="6" t="s">
        <v>11</v>
      </c>
      <c r="C123" s="7">
        <f t="shared" si="25"/>
        <v>35396626.402999997</v>
      </c>
      <c r="D123" s="7">
        <v>0</v>
      </c>
      <c r="E123" s="7">
        <v>0</v>
      </c>
      <c r="F123" s="2">
        <f t="shared" si="27"/>
        <v>35396626.402999997</v>
      </c>
      <c r="G123" s="10">
        <f t="shared" si="29"/>
        <v>6.1618300000000001E-3</v>
      </c>
      <c r="H123" s="2">
        <f t="shared" si="26"/>
        <v>218108</v>
      </c>
      <c r="I123" s="2">
        <f t="shared" si="28"/>
        <v>35614734.402999997</v>
      </c>
      <c r="J123" s="2">
        <f t="shared" si="30"/>
        <v>9675851</v>
      </c>
      <c r="R123" s="7">
        <f t="shared" si="31"/>
        <v>218108</v>
      </c>
      <c r="S123" s="7">
        <f t="shared" si="32"/>
        <v>0</v>
      </c>
    </row>
    <row r="124" spans="1:19">
      <c r="B124" s="6" t="s">
        <v>37</v>
      </c>
      <c r="C124" s="7">
        <f t="shared" si="25"/>
        <v>35614734.402999997</v>
      </c>
      <c r="D124" s="7">
        <v>0</v>
      </c>
      <c r="E124" s="7">
        <v>0</v>
      </c>
      <c r="F124" s="2">
        <f t="shared" si="27"/>
        <v>35614734.402999997</v>
      </c>
      <c r="G124" s="10">
        <f t="shared" si="29"/>
        <v>6.1618300000000001E-3</v>
      </c>
      <c r="H124" s="2">
        <f t="shared" si="26"/>
        <v>219452</v>
      </c>
      <c r="I124" s="2">
        <f t="shared" si="28"/>
        <v>35834186.402999997</v>
      </c>
      <c r="J124" s="2">
        <f t="shared" si="30"/>
        <v>9895303</v>
      </c>
      <c r="R124" s="7">
        <f t="shared" si="31"/>
        <v>219452</v>
      </c>
      <c r="S124" s="7">
        <f t="shared" si="32"/>
        <v>0</v>
      </c>
    </row>
    <row r="125" spans="1:19">
      <c r="B125" s="6" t="s">
        <v>38</v>
      </c>
      <c r="C125" s="7">
        <f t="shared" si="25"/>
        <v>35834186.402999997</v>
      </c>
      <c r="D125" s="7">
        <v>0</v>
      </c>
      <c r="E125" s="7">
        <v>0</v>
      </c>
      <c r="F125" s="2">
        <f t="shared" si="27"/>
        <v>35834186.402999997</v>
      </c>
      <c r="G125" s="10">
        <f t="shared" si="29"/>
        <v>6.1618300000000001E-3</v>
      </c>
      <c r="H125" s="2">
        <f t="shared" si="26"/>
        <v>220804</v>
      </c>
      <c r="I125" s="2">
        <f t="shared" si="28"/>
        <v>36054990.402999997</v>
      </c>
      <c r="J125" s="2">
        <f t="shared" si="30"/>
        <v>10116107</v>
      </c>
      <c r="R125" s="7">
        <f t="shared" si="31"/>
        <v>220804</v>
      </c>
      <c r="S125" s="7">
        <f t="shared" si="32"/>
        <v>0</v>
      </c>
    </row>
    <row r="126" spans="1:19">
      <c r="B126" s="6" t="s">
        <v>14</v>
      </c>
      <c r="C126" s="7">
        <f t="shared" si="25"/>
        <v>36054990.402999997</v>
      </c>
      <c r="D126" s="7">
        <v>0</v>
      </c>
      <c r="E126" s="7">
        <v>0</v>
      </c>
      <c r="F126" s="2">
        <f t="shared" si="27"/>
        <v>36054990.402999997</v>
      </c>
      <c r="G126" s="10">
        <f t="shared" si="29"/>
        <v>6.1618300000000001E-3</v>
      </c>
      <c r="H126" s="2">
        <f t="shared" si="26"/>
        <v>222165</v>
      </c>
      <c r="I126" s="2">
        <f t="shared" si="28"/>
        <v>36277155.402999997</v>
      </c>
      <c r="J126" s="2">
        <f t="shared" si="30"/>
        <v>10338272</v>
      </c>
      <c r="R126" s="7">
        <f t="shared" si="31"/>
        <v>222165</v>
      </c>
      <c r="S126" s="7">
        <f t="shared" si="32"/>
        <v>0</v>
      </c>
    </row>
    <row r="127" spans="1:19">
      <c r="B127" s="6" t="s">
        <v>36</v>
      </c>
      <c r="C127" s="7">
        <f t="shared" si="25"/>
        <v>36277155.402999997</v>
      </c>
      <c r="D127" s="7">
        <v>0</v>
      </c>
      <c r="E127" s="7">
        <v>0</v>
      </c>
      <c r="F127" s="2">
        <f t="shared" si="27"/>
        <v>36277155.402999997</v>
      </c>
      <c r="G127" s="10">
        <f t="shared" si="29"/>
        <v>6.1618300000000001E-3</v>
      </c>
      <c r="H127" s="2">
        <f t="shared" si="26"/>
        <v>223534</v>
      </c>
      <c r="I127" s="2">
        <f t="shared" si="28"/>
        <v>36500689.402999997</v>
      </c>
      <c r="J127" s="2">
        <f t="shared" si="30"/>
        <v>10561806</v>
      </c>
      <c r="R127" s="7">
        <f t="shared" si="31"/>
        <v>223534</v>
      </c>
      <c r="S127" s="7">
        <f t="shared" si="32"/>
        <v>0</v>
      </c>
    </row>
    <row r="128" spans="1:19">
      <c r="B128" s="6" t="s">
        <v>16</v>
      </c>
      <c r="C128" s="7">
        <f t="shared" si="25"/>
        <v>36500689.402999997</v>
      </c>
      <c r="D128" s="7">
        <v>0</v>
      </c>
      <c r="E128" s="7">
        <v>0</v>
      </c>
      <c r="F128" s="2">
        <f t="shared" si="27"/>
        <v>36500689.402999997</v>
      </c>
      <c r="G128" s="10">
        <f t="shared" si="29"/>
        <v>6.1618300000000001E-3</v>
      </c>
      <c r="H128" s="2">
        <f t="shared" si="26"/>
        <v>224911</v>
      </c>
      <c r="I128" s="2">
        <f t="shared" si="28"/>
        <v>36725600.402999997</v>
      </c>
      <c r="J128" s="2">
        <f t="shared" si="30"/>
        <v>10786717</v>
      </c>
      <c r="R128" s="7">
        <f t="shared" si="31"/>
        <v>224911</v>
      </c>
      <c r="S128" s="7">
        <f t="shared" si="32"/>
        <v>0</v>
      </c>
    </row>
    <row r="129" spans="1:19">
      <c r="B129" s="6" t="s">
        <v>17</v>
      </c>
      <c r="C129" s="7">
        <f t="shared" si="25"/>
        <v>36725600.402999997</v>
      </c>
      <c r="D129" s="7">
        <v>0</v>
      </c>
      <c r="E129" s="7">
        <v>0</v>
      </c>
      <c r="F129" s="2">
        <f t="shared" si="27"/>
        <v>36725600.402999997</v>
      </c>
      <c r="G129" s="10">
        <f t="shared" si="29"/>
        <v>6.1618300000000001E-3</v>
      </c>
      <c r="H129" s="2">
        <f t="shared" si="26"/>
        <v>226297</v>
      </c>
      <c r="I129" s="2">
        <f t="shared" si="28"/>
        <v>36951897.402999997</v>
      </c>
      <c r="J129" s="2">
        <f t="shared" si="30"/>
        <v>11013014</v>
      </c>
      <c r="R129" s="7">
        <f t="shared" si="31"/>
        <v>226297</v>
      </c>
      <c r="S129" s="7">
        <f t="shared" si="32"/>
        <v>0</v>
      </c>
    </row>
    <row r="130" spans="1:19">
      <c r="B130" s="19" t="s">
        <v>18</v>
      </c>
      <c r="C130" s="7">
        <f t="shared" si="25"/>
        <v>36951897.402999997</v>
      </c>
      <c r="D130" s="7">
        <v>0</v>
      </c>
      <c r="E130" s="7">
        <v>0</v>
      </c>
      <c r="F130" s="2">
        <f t="shared" si="27"/>
        <v>36951897.402999997</v>
      </c>
      <c r="G130" s="10">
        <f t="shared" si="29"/>
        <v>6.1618300000000001E-3</v>
      </c>
      <c r="H130" s="2">
        <f t="shared" si="26"/>
        <v>227691</v>
      </c>
      <c r="I130" s="2">
        <f t="shared" si="28"/>
        <v>37179588.402999997</v>
      </c>
      <c r="J130" s="2">
        <f t="shared" si="30"/>
        <v>11240705</v>
      </c>
      <c r="O130" s="7">
        <f>SUM(D119:D130)</f>
        <v>0</v>
      </c>
      <c r="P130" s="7">
        <f>SUM(R119:R130)</f>
        <v>2642118</v>
      </c>
      <c r="Q130" s="7">
        <f>SUM(E119:E130)</f>
        <v>0</v>
      </c>
      <c r="R130" s="7">
        <f t="shared" si="31"/>
        <v>227691</v>
      </c>
      <c r="S130" s="7">
        <f t="shared" si="32"/>
        <v>0</v>
      </c>
    </row>
    <row r="131" spans="1:19">
      <c r="A131" s="1">
        <f>A119+1</f>
        <v>2016</v>
      </c>
      <c r="B131" s="6" t="s">
        <v>7</v>
      </c>
      <c r="C131" s="7">
        <f t="shared" si="25"/>
        <v>37179588.402999997</v>
      </c>
      <c r="D131" s="7">
        <v>0</v>
      </c>
      <c r="E131" s="7">
        <v>0</v>
      </c>
      <c r="F131" s="2">
        <f t="shared" si="27"/>
        <v>37179588.402999997</v>
      </c>
      <c r="G131" s="10">
        <f t="shared" si="29"/>
        <v>6.1618300000000001E-3</v>
      </c>
      <c r="H131" s="2">
        <f t="shared" ref="H131:H162" si="33">ROUND(+F131*G131,0)</f>
        <v>229094</v>
      </c>
      <c r="I131" s="2">
        <f t="shared" si="28"/>
        <v>37408682.402999997</v>
      </c>
      <c r="J131" s="2">
        <f t="shared" si="30"/>
        <v>11469799</v>
      </c>
      <c r="R131" s="7">
        <f t="shared" si="31"/>
        <v>229094</v>
      </c>
      <c r="S131" s="7">
        <f t="shared" si="32"/>
        <v>0</v>
      </c>
    </row>
    <row r="132" spans="1:19">
      <c r="B132" s="6" t="s">
        <v>8</v>
      </c>
      <c r="C132" s="7">
        <f t="shared" si="25"/>
        <v>37408682.402999997</v>
      </c>
      <c r="D132" s="7">
        <v>0</v>
      </c>
      <c r="E132" s="7">
        <v>0</v>
      </c>
      <c r="F132" s="2">
        <f t="shared" si="27"/>
        <v>37408682.402999997</v>
      </c>
      <c r="G132" s="10">
        <f t="shared" si="29"/>
        <v>6.1618300000000001E-3</v>
      </c>
      <c r="H132" s="2">
        <f t="shared" si="33"/>
        <v>230506</v>
      </c>
      <c r="I132" s="2">
        <f t="shared" si="28"/>
        <v>37639188.402999997</v>
      </c>
      <c r="J132" s="2">
        <f t="shared" si="30"/>
        <v>11700305</v>
      </c>
      <c r="R132" s="7">
        <f t="shared" si="31"/>
        <v>230506</v>
      </c>
      <c r="S132" s="7">
        <f t="shared" si="32"/>
        <v>0</v>
      </c>
    </row>
    <row r="133" spans="1:19">
      <c r="B133" s="6" t="s">
        <v>9</v>
      </c>
      <c r="C133" s="7">
        <f t="shared" si="25"/>
        <v>37639188.402999997</v>
      </c>
      <c r="D133" s="7">
        <v>0</v>
      </c>
      <c r="E133" s="7">
        <v>0</v>
      </c>
      <c r="F133" s="2">
        <f t="shared" ref="F133:F166" si="34">(D133+(C133*2))*0.5</f>
        <v>37639188.402999997</v>
      </c>
      <c r="G133" s="10">
        <f t="shared" si="29"/>
        <v>6.1618300000000001E-3</v>
      </c>
      <c r="H133" s="2">
        <f t="shared" si="33"/>
        <v>231926</v>
      </c>
      <c r="I133" s="2">
        <f t="shared" ref="I133:I164" si="35">+C133+D133+H133-E133</f>
        <v>37871114.402999997</v>
      </c>
      <c r="J133" s="2">
        <f t="shared" si="30"/>
        <v>11932231</v>
      </c>
      <c r="R133" s="7">
        <f t="shared" si="31"/>
        <v>231926</v>
      </c>
      <c r="S133" s="7">
        <f t="shared" si="32"/>
        <v>0</v>
      </c>
    </row>
    <row r="134" spans="1:19">
      <c r="B134" s="6" t="s">
        <v>10</v>
      </c>
      <c r="C134" s="7">
        <f t="shared" si="25"/>
        <v>37871114.402999997</v>
      </c>
      <c r="D134" s="7">
        <v>0</v>
      </c>
      <c r="E134" s="7">
        <v>0</v>
      </c>
      <c r="F134" s="2">
        <f t="shared" si="34"/>
        <v>37871114.402999997</v>
      </c>
      <c r="G134" s="10">
        <f t="shared" si="29"/>
        <v>6.1618300000000001E-3</v>
      </c>
      <c r="H134" s="2">
        <f t="shared" si="33"/>
        <v>233355</v>
      </c>
      <c r="I134" s="2">
        <f t="shared" si="35"/>
        <v>38104469.402999997</v>
      </c>
      <c r="J134" s="2">
        <f t="shared" si="30"/>
        <v>12165586</v>
      </c>
      <c r="R134" s="7">
        <f t="shared" si="31"/>
        <v>233355</v>
      </c>
      <c r="S134" s="7">
        <f t="shared" si="32"/>
        <v>0</v>
      </c>
    </row>
    <row r="135" spans="1:19">
      <c r="B135" s="6" t="s">
        <v>11</v>
      </c>
      <c r="C135" s="7">
        <f t="shared" si="25"/>
        <v>38104469.402999997</v>
      </c>
      <c r="D135" s="7">
        <v>0</v>
      </c>
      <c r="E135" s="7">
        <v>0</v>
      </c>
      <c r="F135" s="2">
        <f t="shared" si="34"/>
        <v>38104469.402999997</v>
      </c>
      <c r="G135" s="10">
        <f t="shared" ref="G135:G190" si="36">ROUND(((1+$A$2)^(1/12))-1,8)</f>
        <v>6.1618300000000001E-3</v>
      </c>
      <c r="H135" s="2">
        <f t="shared" si="33"/>
        <v>234793</v>
      </c>
      <c r="I135" s="2">
        <f t="shared" si="35"/>
        <v>38339262.402999997</v>
      </c>
      <c r="J135" s="2">
        <f t="shared" si="30"/>
        <v>12400379</v>
      </c>
      <c r="R135" s="7">
        <f t="shared" si="31"/>
        <v>234793</v>
      </c>
      <c r="S135" s="7">
        <f t="shared" si="32"/>
        <v>0</v>
      </c>
    </row>
    <row r="136" spans="1:19">
      <c r="B136" s="6" t="s">
        <v>37</v>
      </c>
      <c r="C136" s="7">
        <f t="shared" si="25"/>
        <v>38339262.402999997</v>
      </c>
      <c r="D136" s="7">
        <v>0</v>
      </c>
      <c r="E136" s="7">
        <v>0</v>
      </c>
      <c r="F136" s="2">
        <f t="shared" si="34"/>
        <v>38339262.402999997</v>
      </c>
      <c r="G136" s="10">
        <f t="shared" si="36"/>
        <v>6.1618300000000001E-3</v>
      </c>
      <c r="H136" s="2">
        <f t="shared" si="33"/>
        <v>236240</v>
      </c>
      <c r="I136" s="2">
        <f t="shared" si="35"/>
        <v>38575502.402999997</v>
      </c>
      <c r="J136" s="2">
        <f t="shared" si="30"/>
        <v>12636619</v>
      </c>
      <c r="R136" s="7">
        <f t="shared" si="31"/>
        <v>236240</v>
      </c>
      <c r="S136" s="7">
        <f t="shared" si="32"/>
        <v>0</v>
      </c>
    </row>
    <row r="137" spans="1:19">
      <c r="B137" s="6" t="s">
        <v>38</v>
      </c>
      <c r="C137" s="7">
        <f t="shared" si="25"/>
        <v>38575502.402999997</v>
      </c>
      <c r="D137" s="7">
        <v>0</v>
      </c>
      <c r="E137" s="7">
        <v>0</v>
      </c>
      <c r="F137" s="2">
        <f t="shared" si="34"/>
        <v>38575502.402999997</v>
      </c>
      <c r="G137" s="10">
        <f t="shared" si="36"/>
        <v>6.1618300000000001E-3</v>
      </c>
      <c r="H137" s="2">
        <f t="shared" si="33"/>
        <v>237696</v>
      </c>
      <c r="I137" s="2">
        <f t="shared" si="35"/>
        <v>38813198.402999997</v>
      </c>
      <c r="J137" s="2">
        <f t="shared" si="30"/>
        <v>12874315</v>
      </c>
      <c r="R137" s="7">
        <f t="shared" si="31"/>
        <v>237696</v>
      </c>
      <c r="S137" s="7">
        <f t="shared" si="32"/>
        <v>0</v>
      </c>
    </row>
    <row r="138" spans="1:19">
      <c r="B138" s="6" t="s">
        <v>14</v>
      </c>
      <c r="C138" s="7">
        <f t="shared" si="25"/>
        <v>38813198.402999997</v>
      </c>
      <c r="D138" s="7">
        <v>0</v>
      </c>
      <c r="E138" s="7">
        <v>0</v>
      </c>
      <c r="F138" s="2">
        <f t="shared" si="34"/>
        <v>38813198.402999997</v>
      </c>
      <c r="G138" s="10">
        <f t="shared" si="36"/>
        <v>6.1618300000000001E-3</v>
      </c>
      <c r="H138" s="2">
        <f t="shared" si="33"/>
        <v>239160</v>
      </c>
      <c r="I138" s="2">
        <f t="shared" si="35"/>
        <v>39052358.402999997</v>
      </c>
      <c r="J138" s="2">
        <f t="shared" si="30"/>
        <v>13113475</v>
      </c>
      <c r="R138" s="7">
        <f t="shared" si="31"/>
        <v>239160</v>
      </c>
      <c r="S138" s="7">
        <f t="shared" si="32"/>
        <v>0</v>
      </c>
    </row>
    <row r="139" spans="1:19">
      <c r="B139" s="6" t="s">
        <v>36</v>
      </c>
      <c r="C139" s="7">
        <f t="shared" si="25"/>
        <v>39052358.402999997</v>
      </c>
      <c r="D139" s="7">
        <v>0</v>
      </c>
      <c r="E139" s="7">
        <v>0</v>
      </c>
      <c r="F139" s="2">
        <f t="shared" si="34"/>
        <v>39052358.402999997</v>
      </c>
      <c r="G139" s="10">
        <f t="shared" si="36"/>
        <v>6.1618300000000001E-3</v>
      </c>
      <c r="H139" s="2">
        <f t="shared" si="33"/>
        <v>240634</v>
      </c>
      <c r="I139" s="2">
        <f t="shared" si="35"/>
        <v>39292992.402999997</v>
      </c>
      <c r="J139" s="2">
        <f t="shared" ref="J139:J166" si="37">+H139+J138</f>
        <v>13354109</v>
      </c>
      <c r="R139" s="7">
        <f t="shared" ref="R139:R166" si="38">+D139+H139</f>
        <v>240634</v>
      </c>
      <c r="S139" s="7">
        <f t="shared" ref="S139:S166" si="39">+E139</f>
        <v>0</v>
      </c>
    </row>
    <row r="140" spans="1:19">
      <c r="B140" s="6" t="s">
        <v>16</v>
      </c>
      <c r="C140" s="7">
        <f t="shared" si="25"/>
        <v>39292992.402999997</v>
      </c>
      <c r="D140" s="7">
        <v>0</v>
      </c>
      <c r="E140" s="7">
        <v>0</v>
      </c>
      <c r="F140" s="2">
        <f t="shared" si="34"/>
        <v>39292992.402999997</v>
      </c>
      <c r="G140" s="10">
        <f t="shared" si="36"/>
        <v>6.1618300000000001E-3</v>
      </c>
      <c r="H140" s="2">
        <f t="shared" si="33"/>
        <v>242117</v>
      </c>
      <c r="I140" s="2">
        <f t="shared" si="35"/>
        <v>39535109.402999997</v>
      </c>
      <c r="J140" s="2">
        <f t="shared" si="37"/>
        <v>13596226</v>
      </c>
      <c r="R140" s="7">
        <f t="shared" si="38"/>
        <v>242117</v>
      </c>
      <c r="S140" s="7">
        <f t="shared" si="39"/>
        <v>0</v>
      </c>
    </row>
    <row r="141" spans="1:19">
      <c r="B141" s="6" t="s">
        <v>17</v>
      </c>
      <c r="C141" s="7">
        <f t="shared" si="25"/>
        <v>39535109.402999997</v>
      </c>
      <c r="D141" s="7">
        <v>0</v>
      </c>
      <c r="E141" s="7">
        <v>0</v>
      </c>
      <c r="F141" s="2">
        <f t="shared" si="34"/>
        <v>39535109.402999997</v>
      </c>
      <c r="G141" s="10">
        <f t="shared" si="36"/>
        <v>6.1618300000000001E-3</v>
      </c>
      <c r="H141" s="2">
        <f t="shared" si="33"/>
        <v>243609</v>
      </c>
      <c r="I141" s="2">
        <f t="shared" si="35"/>
        <v>39778718.402999997</v>
      </c>
      <c r="J141" s="2">
        <f t="shared" si="37"/>
        <v>13839835</v>
      </c>
      <c r="R141" s="7">
        <f t="shared" si="38"/>
        <v>243609</v>
      </c>
      <c r="S141" s="7">
        <f t="shared" si="39"/>
        <v>0</v>
      </c>
    </row>
    <row r="142" spans="1:19">
      <c r="B142" s="19" t="s">
        <v>18</v>
      </c>
      <c r="C142" s="7">
        <f t="shared" si="25"/>
        <v>39778718.402999997</v>
      </c>
      <c r="D142" s="7">
        <v>0</v>
      </c>
      <c r="E142" s="7">
        <v>0</v>
      </c>
      <c r="F142" s="2">
        <f t="shared" si="34"/>
        <v>39778718.402999997</v>
      </c>
      <c r="G142" s="10">
        <f t="shared" si="36"/>
        <v>6.1618300000000001E-3</v>
      </c>
      <c r="H142" s="2">
        <f t="shared" si="33"/>
        <v>245110</v>
      </c>
      <c r="I142" s="2">
        <f t="shared" si="35"/>
        <v>40023828.402999997</v>
      </c>
      <c r="J142" s="2">
        <f t="shared" si="37"/>
        <v>14084945</v>
      </c>
      <c r="O142" s="7">
        <f>SUM(D131:D142)</f>
        <v>0</v>
      </c>
      <c r="P142" s="7">
        <f>SUM(R131:R142)</f>
        <v>2844240</v>
      </c>
      <c r="Q142" s="7">
        <f>SUM(E131:E142)</f>
        <v>0</v>
      </c>
      <c r="R142" s="7">
        <f t="shared" si="38"/>
        <v>245110</v>
      </c>
      <c r="S142" s="7">
        <f t="shared" si="39"/>
        <v>0</v>
      </c>
    </row>
    <row r="143" spans="1:19">
      <c r="A143" s="1">
        <f>A131+1</f>
        <v>2017</v>
      </c>
      <c r="B143" s="6" t="s">
        <v>7</v>
      </c>
      <c r="C143" s="7">
        <f t="shared" si="25"/>
        <v>40023828.402999997</v>
      </c>
      <c r="D143" s="7">
        <v>0</v>
      </c>
      <c r="E143" s="7">
        <v>0</v>
      </c>
      <c r="F143" s="2">
        <f t="shared" si="34"/>
        <v>40023828.402999997</v>
      </c>
      <c r="G143" s="10">
        <f t="shared" si="36"/>
        <v>6.1618300000000001E-3</v>
      </c>
      <c r="H143" s="2">
        <f t="shared" si="33"/>
        <v>246620</v>
      </c>
      <c r="I143" s="2">
        <f t="shared" si="35"/>
        <v>40270448.402999997</v>
      </c>
      <c r="J143" s="2">
        <f t="shared" si="37"/>
        <v>14331565</v>
      </c>
      <c r="R143" s="7">
        <f t="shared" si="38"/>
        <v>246620</v>
      </c>
      <c r="S143" s="7">
        <f t="shared" si="39"/>
        <v>0</v>
      </c>
    </row>
    <row r="144" spans="1:19">
      <c r="B144" s="6" t="s">
        <v>8</v>
      </c>
      <c r="C144" s="7">
        <f t="shared" si="25"/>
        <v>40270448.402999997</v>
      </c>
      <c r="D144" s="7">
        <v>0</v>
      </c>
      <c r="E144" s="7">
        <v>0</v>
      </c>
      <c r="F144" s="2">
        <f t="shared" si="34"/>
        <v>40270448.402999997</v>
      </c>
      <c r="G144" s="10">
        <f t="shared" si="36"/>
        <v>6.1618300000000001E-3</v>
      </c>
      <c r="H144" s="2">
        <f t="shared" si="33"/>
        <v>248140</v>
      </c>
      <c r="I144" s="2">
        <f t="shared" si="35"/>
        <v>40518588.402999997</v>
      </c>
      <c r="J144" s="2">
        <f t="shared" si="37"/>
        <v>14579705</v>
      </c>
      <c r="R144" s="7">
        <f t="shared" si="38"/>
        <v>248140</v>
      </c>
      <c r="S144" s="7">
        <f t="shared" si="39"/>
        <v>0</v>
      </c>
    </row>
    <row r="145" spans="1:19">
      <c r="B145" s="6" t="s">
        <v>9</v>
      </c>
      <c r="C145" s="7">
        <f t="shared" si="25"/>
        <v>40518588.402999997</v>
      </c>
      <c r="D145" s="7">
        <v>0</v>
      </c>
      <c r="E145" s="7">
        <v>0</v>
      </c>
      <c r="F145" s="2">
        <f t="shared" si="34"/>
        <v>40518588.402999997</v>
      </c>
      <c r="G145" s="10">
        <f t="shared" si="36"/>
        <v>6.1618300000000001E-3</v>
      </c>
      <c r="H145" s="2">
        <f t="shared" si="33"/>
        <v>249669</v>
      </c>
      <c r="I145" s="2">
        <f t="shared" si="35"/>
        <v>40768257.402999997</v>
      </c>
      <c r="J145" s="2">
        <f t="shared" si="37"/>
        <v>14829374</v>
      </c>
      <c r="R145" s="7">
        <f t="shared" si="38"/>
        <v>249669</v>
      </c>
      <c r="S145" s="7">
        <f t="shared" si="39"/>
        <v>0</v>
      </c>
    </row>
    <row r="146" spans="1:19">
      <c r="B146" s="6" t="s">
        <v>10</v>
      </c>
      <c r="C146" s="7">
        <f t="shared" si="25"/>
        <v>40768257.402999997</v>
      </c>
      <c r="D146" s="7">
        <v>0</v>
      </c>
      <c r="E146" s="7">
        <v>0</v>
      </c>
      <c r="F146" s="2">
        <f t="shared" si="34"/>
        <v>40768257.402999997</v>
      </c>
      <c r="G146" s="10">
        <f t="shared" si="36"/>
        <v>6.1618300000000001E-3</v>
      </c>
      <c r="H146" s="2">
        <f t="shared" si="33"/>
        <v>251207</v>
      </c>
      <c r="I146" s="2">
        <f t="shared" si="35"/>
        <v>41019464.402999997</v>
      </c>
      <c r="J146" s="2">
        <f t="shared" si="37"/>
        <v>15080581</v>
      </c>
      <c r="R146" s="7">
        <f t="shared" si="38"/>
        <v>251207</v>
      </c>
      <c r="S146" s="7">
        <f t="shared" si="39"/>
        <v>0</v>
      </c>
    </row>
    <row r="147" spans="1:19">
      <c r="B147" s="6" t="s">
        <v>11</v>
      </c>
      <c r="C147" s="7">
        <f t="shared" si="25"/>
        <v>41019464.402999997</v>
      </c>
      <c r="D147" s="7">
        <v>0</v>
      </c>
      <c r="E147" s="7">
        <v>0</v>
      </c>
      <c r="F147" s="2">
        <f t="shared" si="34"/>
        <v>41019464.402999997</v>
      </c>
      <c r="G147" s="10">
        <f t="shared" si="36"/>
        <v>6.1618300000000001E-3</v>
      </c>
      <c r="H147" s="2">
        <f t="shared" si="33"/>
        <v>252755</v>
      </c>
      <c r="I147" s="2">
        <f t="shared" si="35"/>
        <v>41272219.402999997</v>
      </c>
      <c r="J147" s="2">
        <f t="shared" si="37"/>
        <v>15333336</v>
      </c>
      <c r="R147" s="7">
        <f t="shared" si="38"/>
        <v>252755</v>
      </c>
      <c r="S147" s="7">
        <f t="shared" si="39"/>
        <v>0</v>
      </c>
    </row>
    <row r="148" spans="1:19">
      <c r="B148" s="6" t="s">
        <v>37</v>
      </c>
      <c r="C148" s="7">
        <f t="shared" si="25"/>
        <v>41272219.402999997</v>
      </c>
      <c r="D148" s="7">
        <v>0</v>
      </c>
      <c r="E148" s="7">
        <v>0</v>
      </c>
      <c r="F148" s="2">
        <f t="shared" si="34"/>
        <v>41272219.402999997</v>
      </c>
      <c r="G148" s="10">
        <f t="shared" si="36"/>
        <v>6.1618300000000001E-3</v>
      </c>
      <c r="H148" s="2">
        <f t="shared" si="33"/>
        <v>254312</v>
      </c>
      <c r="I148" s="2">
        <f t="shared" si="35"/>
        <v>41526531.402999997</v>
      </c>
      <c r="J148" s="2">
        <f t="shared" si="37"/>
        <v>15587648</v>
      </c>
      <c r="R148" s="7">
        <f t="shared" si="38"/>
        <v>254312</v>
      </c>
      <c r="S148" s="7">
        <f t="shared" si="39"/>
        <v>0</v>
      </c>
    </row>
    <row r="149" spans="1:19">
      <c r="B149" s="6" t="s">
        <v>38</v>
      </c>
      <c r="C149" s="7">
        <f t="shared" si="25"/>
        <v>41526531.402999997</v>
      </c>
      <c r="D149" s="7">
        <v>0</v>
      </c>
      <c r="E149" s="7">
        <v>0</v>
      </c>
      <c r="F149" s="2">
        <f t="shared" si="34"/>
        <v>41526531.402999997</v>
      </c>
      <c r="G149" s="10">
        <f t="shared" si="36"/>
        <v>6.1618300000000001E-3</v>
      </c>
      <c r="H149" s="2">
        <f t="shared" si="33"/>
        <v>255879</v>
      </c>
      <c r="I149" s="2">
        <f t="shared" si="35"/>
        <v>41782410.402999997</v>
      </c>
      <c r="J149" s="2">
        <f t="shared" si="37"/>
        <v>15843527</v>
      </c>
      <c r="R149" s="7">
        <f t="shared" si="38"/>
        <v>255879</v>
      </c>
      <c r="S149" s="7">
        <f t="shared" si="39"/>
        <v>0</v>
      </c>
    </row>
    <row r="150" spans="1:19">
      <c r="B150" s="6" t="s">
        <v>14</v>
      </c>
      <c r="C150" s="7">
        <f t="shared" si="25"/>
        <v>41782410.402999997</v>
      </c>
      <c r="D150" s="7">
        <v>0</v>
      </c>
      <c r="E150" s="7">
        <v>0</v>
      </c>
      <c r="F150" s="2">
        <f t="shared" si="34"/>
        <v>41782410.402999997</v>
      </c>
      <c r="G150" s="10">
        <f t="shared" si="36"/>
        <v>6.1618300000000001E-3</v>
      </c>
      <c r="H150" s="2">
        <f t="shared" si="33"/>
        <v>257456</v>
      </c>
      <c r="I150" s="2">
        <f t="shared" si="35"/>
        <v>42039866.402999997</v>
      </c>
      <c r="J150" s="2">
        <f t="shared" si="37"/>
        <v>16100983</v>
      </c>
      <c r="R150" s="7">
        <f t="shared" si="38"/>
        <v>257456</v>
      </c>
      <c r="S150" s="7">
        <f t="shared" si="39"/>
        <v>0</v>
      </c>
    </row>
    <row r="151" spans="1:19">
      <c r="B151" s="6" t="s">
        <v>36</v>
      </c>
      <c r="C151" s="7">
        <f t="shared" si="25"/>
        <v>42039866.402999997</v>
      </c>
      <c r="D151" s="7">
        <v>0</v>
      </c>
      <c r="E151" s="7">
        <v>0</v>
      </c>
      <c r="F151" s="2">
        <f t="shared" si="34"/>
        <v>42039866.402999997</v>
      </c>
      <c r="G151" s="10">
        <f t="shared" si="36"/>
        <v>6.1618300000000001E-3</v>
      </c>
      <c r="H151" s="2">
        <f t="shared" si="33"/>
        <v>259043</v>
      </c>
      <c r="I151" s="2">
        <f t="shared" si="35"/>
        <v>42298909.402999997</v>
      </c>
      <c r="J151" s="2">
        <f t="shared" si="37"/>
        <v>16360026</v>
      </c>
      <c r="R151" s="7">
        <f t="shared" si="38"/>
        <v>259043</v>
      </c>
      <c r="S151" s="7">
        <f t="shared" si="39"/>
        <v>0</v>
      </c>
    </row>
    <row r="152" spans="1:19">
      <c r="B152" s="6" t="s">
        <v>16</v>
      </c>
      <c r="C152" s="7">
        <f t="shared" si="25"/>
        <v>42298909.402999997</v>
      </c>
      <c r="D152" s="7">
        <v>0</v>
      </c>
      <c r="E152" s="7">
        <v>0</v>
      </c>
      <c r="F152" s="2">
        <f t="shared" si="34"/>
        <v>42298909.402999997</v>
      </c>
      <c r="G152" s="10">
        <f t="shared" si="36"/>
        <v>6.1618300000000001E-3</v>
      </c>
      <c r="H152" s="2">
        <f t="shared" si="33"/>
        <v>260639</v>
      </c>
      <c r="I152" s="2">
        <f t="shared" si="35"/>
        <v>42559548.402999997</v>
      </c>
      <c r="J152" s="2">
        <f t="shared" si="37"/>
        <v>16620665</v>
      </c>
      <c r="R152" s="7">
        <f t="shared" si="38"/>
        <v>260639</v>
      </c>
      <c r="S152" s="7">
        <f t="shared" si="39"/>
        <v>0</v>
      </c>
    </row>
    <row r="153" spans="1:19">
      <c r="B153" s="6" t="s">
        <v>17</v>
      </c>
      <c r="C153" s="7">
        <f t="shared" si="25"/>
        <v>42559548.402999997</v>
      </c>
      <c r="D153" s="7">
        <v>0</v>
      </c>
      <c r="E153" s="7">
        <v>0</v>
      </c>
      <c r="F153" s="2">
        <f t="shared" si="34"/>
        <v>42559548.402999997</v>
      </c>
      <c r="G153" s="10">
        <f t="shared" si="36"/>
        <v>6.1618300000000001E-3</v>
      </c>
      <c r="H153" s="2">
        <f t="shared" si="33"/>
        <v>262245</v>
      </c>
      <c r="I153" s="2">
        <f t="shared" si="35"/>
        <v>42821793.402999997</v>
      </c>
      <c r="J153" s="2">
        <f t="shared" si="37"/>
        <v>16882910</v>
      </c>
      <c r="R153" s="7">
        <f t="shared" si="38"/>
        <v>262245</v>
      </c>
      <c r="S153" s="7">
        <f t="shared" si="39"/>
        <v>0</v>
      </c>
    </row>
    <row r="154" spans="1:19">
      <c r="B154" s="19" t="s">
        <v>18</v>
      </c>
      <c r="C154" s="7">
        <f t="shared" si="25"/>
        <v>42821793.402999997</v>
      </c>
      <c r="D154" s="7">
        <v>0</v>
      </c>
      <c r="E154" s="7">
        <v>0</v>
      </c>
      <c r="F154" s="2">
        <f t="shared" si="34"/>
        <v>42821793.402999997</v>
      </c>
      <c r="G154" s="10">
        <f t="shared" si="36"/>
        <v>6.1618300000000001E-3</v>
      </c>
      <c r="H154" s="2">
        <f t="shared" si="33"/>
        <v>263861</v>
      </c>
      <c r="I154" s="2">
        <f t="shared" si="35"/>
        <v>43085654.402999997</v>
      </c>
      <c r="J154" s="2">
        <f t="shared" si="37"/>
        <v>17146771</v>
      </c>
      <c r="O154" s="7">
        <f>SUM(D143:D154)</f>
        <v>0</v>
      </c>
      <c r="P154" s="7">
        <f>SUM(R143:R154)</f>
        <v>3061826</v>
      </c>
      <c r="Q154" s="7">
        <f>SUM(E143:E154)</f>
        <v>0</v>
      </c>
      <c r="R154" s="7">
        <f t="shared" si="38"/>
        <v>263861</v>
      </c>
      <c r="S154" s="7">
        <f t="shared" si="39"/>
        <v>0</v>
      </c>
    </row>
    <row r="155" spans="1:19">
      <c r="A155" s="1">
        <f>A143+1</f>
        <v>2018</v>
      </c>
      <c r="B155" s="6" t="s">
        <v>7</v>
      </c>
      <c r="C155" s="7">
        <f t="shared" si="25"/>
        <v>43085654.402999997</v>
      </c>
      <c r="D155" s="7">
        <v>0</v>
      </c>
      <c r="E155" s="7">
        <v>0</v>
      </c>
      <c r="F155" s="2">
        <f t="shared" si="34"/>
        <v>43085654.402999997</v>
      </c>
      <c r="G155" s="10">
        <f t="shared" si="36"/>
        <v>6.1618300000000001E-3</v>
      </c>
      <c r="H155" s="2">
        <f t="shared" si="33"/>
        <v>265486</v>
      </c>
      <c r="I155" s="2">
        <f t="shared" si="35"/>
        <v>43351140.402999997</v>
      </c>
      <c r="J155" s="2">
        <f t="shared" si="37"/>
        <v>17412257</v>
      </c>
      <c r="R155" s="7">
        <f t="shared" si="38"/>
        <v>265486</v>
      </c>
      <c r="S155" s="7">
        <f t="shared" si="39"/>
        <v>0</v>
      </c>
    </row>
    <row r="156" spans="1:19">
      <c r="B156" s="6" t="s">
        <v>8</v>
      </c>
      <c r="C156" s="7">
        <f t="shared" si="25"/>
        <v>43351140.402999997</v>
      </c>
      <c r="D156" s="7">
        <v>0</v>
      </c>
      <c r="E156" s="7">
        <v>0</v>
      </c>
      <c r="F156" s="2">
        <f t="shared" si="34"/>
        <v>43351140.402999997</v>
      </c>
      <c r="G156" s="10">
        <f t="shared" si="36"/>
        <v>6.1618300000000001E-3</v>
      </c>
      <c r="H156" s="2">
        <f t="shared" si="33"/>
        <v>267122</v>
      </c>
      <c r="I156" s="2">
        <f t="shared" si="35"/>
        <v>43618262.402999997</v>
      </c>
      <c r="J156" s="2">
        <f t="shared" si="37"/>
        <v>17679379</v>
      </c>
      <c r="R156" s="7">
        <f t="shared" si="38"/>
        <v>267122</v>
      </c>
      <c r="S156" s="7">
        <f t="shared" si="39"/>
        <v>0</v>
      </c>
    </row>
    <row r="157" spans="1:19">
      <c r="B157" s="6" t="s">
        <v>9</v>
      </c>
      <c r="C157" s="7">
        <f t="shared" ref="C157:C166" si="40">+I156</f>
        <v>43618262.402999997</v>
      </c>
      <c r="D157" s="7">
        <v>0</v>
      </c>
      <c r="E157" s="7">
        <v>0</v>
      </c>
      <c r="F157" s="2">
        <f t="shared" si="34"/>
        <v>43618262.402999997</v>
      </c>
      <c r="G157" s="10">
        <f t="shared" si="36"/>
        <v>6.1618300000000001E-3</v>
      </c>
      <c r="H157" s="2">
        <f t="shared" si="33"/>
        <v>268768</v>
      </c>
      <c r="I157" s="2">
        <f t="shared" si="35"/>
        <v>43887030.402999997</v>
      </c>
      <c r="J157" s="2">
        <f t="shared" si="37"/>
        <v>17948147</v>
      </c>
      <c r="R157" s="7">
        <f t="shared" si="38"/>
        <v>268768</v>
      </c>
      <c r="S157" s="7">
        <f t="shared" si="39"/>
        <v>0</v>
      </c>
    </row>
    <row r="158" spans="1:19">
      <c r="B158" s="6" t="s">
        <v>10</v>
      </c>
      <c r="C158" s="7">
        <f t="shared" si="40"/>
        <v>43887030.402999997</v>
      </c>
      <c r="D158" s="7">
        <v>0</v>
      </c>
      <c r="E158" s="7">
        <v>0</v>
      </c>
      <c r="F158" s="2">
        <f t="shared" si="34"/>
        <v>43887030.402999997</v>
      </c>
      <c r="G158" s="10">
        <f t="shared" si="36"/>
        <v>6.1618300000000001E-3</v>
      </c>
      <c r="H158" s="2">
        <f t="shared" si="33"/>
        <v>270424</v>
      </c>
      <c r="I158" s="2">
        <f t="shared" si="35"/>
        <v>44157454.402999997</v>
      </c>
      <c r="J158" s="2">
        <f t="shared" si="37"/>
        <v>18218571</v>
      </c>
      <c r="R158" s="7">
        <f t="shared" si="38"/>
        <v>270424</v>
      </c>
      <c r="S158" s="7">
        <f t="shared" si="39"/>
        <v>0</v>
      </c>
    </row>
    <row r="159" spans="1:19">
      <c r="B159" s="6" t="s">
        <v>11</v>
      </c>
      <c r="C159" s="7">
        <f t="shared" si="40"/>
        <v>44157454.402999997</v>
      </c>
      <c r="D159" s="7">
        <v>0</v>
      </c>
      <c r="E159" s="7">
        <v>0</v>
      </c>
      <c r="F159" s="2">
        <f t="shared" si="34"/>
        <v>44157454.402999997</v>
      </c>
      <c r="G159" s="10">
        <f t="shared" si="36"/>
        <v>6.1618300000000001E-3</v>
      </c>
      <c r="H159" s="2">
        <f t="shared" si="33"/>
        <v>272091</v>
      </c>
      <c r="I159" s="2">
        <f t="shared" si="35"/>
        <v>44429545.402999997</v>
      </c>
      <c r="J159" s="2">
        <f t="shared" si="37"/>
        <v>18490662</v>
      </c>
      <c r="R159" s="7">
        <f t="shared" si="38"/>
        <v>272091</v>
      </c>
      <c r="S159" s="7">
        <f t="shared" si="39"/>
        <v>0</v>
      </c>
    </row>
    <row r="160" spans="1:19">
      <c r="B160" s="6" t="s">
        <v>37</v>
      </c>
      <c r="C160" s="7">
        <f t="shared" si="40"/>
        <v>44429545.402999997</v>
      </c>
      <c r="D160" s="7">
        <v>0</v>
      </c>
      <c r="E160" s="7">
        <v>0</v>
      </c>
      <c r="F160" s="2">
        <f t="shared" si="34"/>
        <v>44429545.402999997</v>
      </c>
      <c r="G160" s="10">
        <f t="shared" si="36"/>
        <v>6.1618300000000001E-3</v>
      </c>
      <c r="H160" s="2">
        <f t="shared" si="33"/>
        <v>273767</v>
      </c>
      <c r="I160" s="2">
        <f t="shared" si="35"/>
        <v>44703312.402999997</v>
      </c>
      <c r="J160" s="2">
        <f t="shared" si="37"/>
        <v>18764429</v>
      </c>
      <c r="R160" s="7">
        <f t="shared" si="38"/>
        <v>273767</v>
      </c>
      <c r="S160" s="7">
        <f t="shared" si="39"/>
        <v>0</v>
      </c>
    </row>
    <row r="161" spans="1:19">
      <c r="B161" s="6" t="s">
        <v>38</v>
      </c>
      <c r="C161" s="7">
        <f t="shared" si="40"/>
        <v>44703312.402999997</v>
      </c>
      <c r="D161" s="7">
        <v>0</v>
      </c>
      <c r="E161" s="7">
        <v>0</v>
      </c>
      <c r="F161" s="2">
        <f t="shared" si="34"/>
        <v>44703312.402999997</v>
      </c>
      <c r="G161" s="10">
        <f t="shared" si="36"/>
        <v>6.1618300000000001E-3</v>
      </c>
      <c r="H161" s="2">
        <f t="shared" si="33"/>
        <v>275454</v>
      </c>
      <c r="I161" s="2">
        <f t="shared" si="35"/>
        <v>44978766.402999997</v>
      </c>
      <c r="J161" s="2">
        <f t="shared" si="37"/>
        <v>19039883</v>
      </c>
      <c r="R161" s="7">
        <f t="shared" si="38"/>
        <v>275454</v>
      </c>
      <c r="S161" s="7">
        <f t="shared" si="39"/>
        <v>0</v>
      </c>
    </row>
    <row r="162" spans="1:19">
      <c r="B162" s="6" t="s">
        <v>14</v>
      </c>
      <c r="C162" s="7">
        <f t="shared" si="40"/>
        <v>44978766.402999997</v>
      </c>
      <c r="D162" s="7">
        <v>0</v>
      </c>
      <c r="E162" s="7">
        <v>0</v>
      </c>
      <c r="F162" s="2">
        <f t="shared" si="34"/>
        <v>44978766.402999997</v>
      </c>
      <c r="G162" s="10">
        <f t="shared" si="36"/>
        <v>6.1618300000000001E-3</v>
      </c>
      <c r="H162" s="2">
        <f t="shared" si="33"/>
        <v>277152</v>
      </c>
      <c r="I162" s="2">
        <f t="shared" si="35"/>
        <v>45255918.402999997</v>
      </c>
      <c r="J162" s="2">
        <f t="shared" si="37"/>
        <v>19317035</v>
      </c>
      <c r="R162" s="7">
        <f t="shared" si="38"/>
        <v>277152</v>
      </c>
      <c r="S162" s="7">
        <f t="shared" si="39"/>
        <v>0</v>
      </c>
    </row>
    <row r="163" spans="1:19">
      <c r="B163" s="6" t="s">
        <v>36</v>
      </c>
      <c r="C163" s="7">
        <f t="shared" si="40"/>
        <v>45255918.402999997</v>
      </c>
      <c r="D163" s="7">
        <v>0</v>
      </c>
      <c r="E163" s="7">
        <v>0</v>
      </c>
      <c r="F163" s="2">
        <f t="shared" si="34"/>
        <v>45255918.402999997</v>
      </c>
      <c r="G163" s="10">
        <f t="shared" si="36"/>
        <v>6.1618300000000001E-3</v>
      </c>
      <c r="H163" s="2">
        <f>ROUND(+F163*G163,0)</f>
        <v>278859</v>
      </c>
      <c r="I163" s="2">
        <f t="shared" si="35"/>
        <v>45534777.402999997</v>
      </c>
      <c r="J163" s="2">
        <f t="shared" si="37"/>
        <v>19595894</v>
      </c>
      <c r="R163" s="7">
        <f t="shared" si="38"/>
        <v>278859</v>
      </c>
      <c r="S163" s="7">
        <f t="shared" si="39"/>
        <v>0</v>
      </c>
    </row>
    <row r="164" spans="1:19">
      <c r="B164" s="6" t="s">
        <v>16</v>
      </c>
      <c r="C164" s="7">
        <f t="shared" si="40"/>
        <v>45534777.402999997</v>
      </c>
      <c r="D164" s="7">
        <v>0</v>
      </c>
      <c r="E164" s="7">
        <v>0</v>
      </c>
      <c r="F164" s="2">
        <f t="shared" si="34"/>
        <v>45534777.402999997</v>
      </c>
      <c r="G164" s="10">
        <f t="shared" si="36"/>
        <v>6.1618300000000001E-3</v>
      </c>
      <c r="H164" s="2">
        <f>ROUND(+F164*G164,0)</f>
        <v>280578</v>
      </c>
      <c r="I164" s="2">
        <f t="shared" si="35"/>
        <v>45815355.402999997</v>
      </c>
      <c r="J164" s="2">
        <f t="shared" si="37"/>
        <v>19876472</v>
      </c>
      <c r="R164" s="7">
        <f t="shared" si="38"/>
        <v>280578</v>
      </c>
      <c r="S164" s="7">
        <f t="shared" si="39"/>
        <v>0</v>
      </c>
    </row>
    <row r="165" spans="1:19">
      <c r="B165" s="6" t="s">
        <v>17</v>
      </c>
      <c r="C165" s="7">
        <f t="shared" si="40"/>
        <v>45815355.402999997</v>
      </c>
      <c r="D165" s="7">
        <v>0</v>
      </c>
      <c r="E165" s="7">
        <v>0</v>
      </c>
      <c r="F165" s="2">
        <f t="shared" si="34"/>
        <v>45815355.402999997</v>
      </c>
      <c r="G165" s="10">
        <f t="shared" si="36"/>
        <v>6.1618300000000001E-3</v>
      </c>
      <c r="H165" s="2">
        <f>ROUND(+F165*G165,0)</f>
        <v>282306</v>
      </c>
      <c r="I165" s="2">
        <f>+C165+D165+H165-E165</f>
        <v>46097661.402999997</v>
      </c>
      <c r="J165" s="2">
        <f t="shared" si="37"/>
        <v>20158778</v>
      </c>
      <c r="R165" s="7">
        <f t="shared" si="38"/>
        <v>282306</v>
      </c>
      <c r="S165" s="7">
        <f t="shared" si="39"/>
        <v>0</v>
      </c>
    </row>
    <row r="166" spans="1:19">
      <c r="B166" s="19" t="s">
        <v>18</v>
      </c>
      <c r="C166" s="7">
        <f t="shared" si="40"/>
        <v>46097661.402999997</v>
      </c>
      <c r="D166" s="7">
        <v>0</v>
      </c>
      <c r="E166" s="7">
        <v>0</v>
      </c>
      <c r="F166" s="2">
        <f t="shared" si="34"/>
        <v>46097661.402999997</v>
      </c>
      <c r="G166" s="10">
        <f t="shared" si="36"/>
        <v>6.1618300000000001E-3</v>
      </c>
      <c r="H166" s="2">
        <f>ROUND(+F166*G166,0)</f>
        <v>284046</v>
      </c>
      <c r="I166" s="2">
        <f>+C166+D166+H166-E166</f>
        <v>46381707.402999997</v>
      </c>
      <c r="J166" s="2">
        <f t="shared" si="37"/>
        <v>20442824</v>
      </c>
      <c r="O166" s="7">
        <f>SUM(D155:D166)</f>
        <v>0</v>
      </c>
      <c r="P166" s="7">
        <f>SUM(R155:R166)</f>
        <v>3296053</v>
      </c>
      <c r="Q166" s="7">
        <f>SUM(E155:E166)</f>
        <v>0</v>
      </c>
      <c r="R166" s="7">
        <f t="shared" si="38"/>
        <v>284046</v>
      </c>
      <c r="S166" s="7">
        <f t="shared" si="39"/>
        <v>0</v>
      </c>
    </row>
    <row r="167" spans="1:19">
      <c r="A167" s="1">
        <f>A155+1</f>
        <v>2019</v>
      </c>
      <c r="B167" s="6" t="s">
        <v>7</v>
      </c>
      <c r="C167" s="7">
        <f t="shared" ref="C167:C190" si="41">+I166</f>
        <v>46381707.402999997</v>
      </c>
      <c r="D167" s="7">
        <v>0</v>
      </c>
      <c r="E167" s="7">
        <v>0</v>
      </c>
      <c r="F167" s="2">
        <f t="shared" ref="F167:F190" si="42">(D167+(C167*2))*0.5</f>
        <v>46381707.402999997</v>
      </c>
      <c r="G167" s="10">
        <f t="shared" si="36"/>
        <v>6.1618300000000001E-3</v>
      </c>
      <c r="H167" s="2">
        <f t="shared" ref="H167:H190" si="43">ROUND(+F167*G167,0)</f>
        <v>285796</v>
      </c>
      <c r="I167" s="2">
        <f t="shared" ref="I167:I190" si="44">+C167+D167+H167-E167</f>
        <v>46667503.402999997</v>
      </c>
      <c r="J167" s="2">
        <f t="shared" ref="J167:J190" si="45">+H167+J166</f>
        <v>20728620</v>
      </c>
      <c r="O167" s="7">
        <f t="shared" ref="O167:O190" si="46">SUM(D156:D167)</f>
        <v>0</v>
      </c>
      <c r="P167" s="7">
        <f t="shared" ref="P167:P190" si="47">SUM(R156:R167)</f>
        <v>3316363</v>
      </c>
      <c r="Q167" s="7">
        <f t="shared" ref="Q167:Q190" si="48">SUM(E156:E167)</f>
        <v>0</v>
      </c>
      <c r="R167" s="7">
        <f t="shared" ref="R167:R190" si="49">+D167+H167</f>
        <v>285796</v>
      </c>
      <c r="S167" s="7">
        <f t="shared" ref="S167:S190" si="50">+E167</f>
        <v>0</v>
      </c>
    </row>
    <row r="168" spans="1:19">
      <c r="B168" s="6" t="s">
        <v>8</v>
      </c>
      <c r="C168" s="7">
        <f t="shared" si="41"/>
        <v>46667503.402999997</v>
      </c>
      <c r="D168" s="7">
        <v>0</v>
      </c>
      <c r="E168" s="7">
        <v>0</v>
      </c>
      <c r="F168" s="2">
        <f t="shared" si="42"/>
        <v>46667503.402999997</v>
      </c>
      <c r="G168" s="10">
        <f t="shared" si="36"/>
        <v>6.1618300000000001E-3</v>
      </c>
      <c r="H168" s="2">
        <f t="shared" si="43"/>
        <v>287557</v>
      </c>
      <c r="I168" s="2">
        <f t="shared" si="44"/>
        <v>46955060.402999997</v>
      </c>
      <c r="J168" s="2">
        <f t="shared" si="45"/>
        <v>21016177</v>
      </c>
      <c r="O168" s="7">
        <f t="shared" si="46"/>
        <v>0</v>
      </c>
      <c r="P168" s="7">
        <f t="shared" si="47"/>
        <v>3336798</v>
      </c>
      <c r="Q168" s="7">
        <f t="shared" si="48"/>
        <v>0</v>
      </c>
      <c r="R168" s="7">
        <f t="shared" si="49"/>
        <v>287557</v>
      </c>
      <c r="S168" s="7">
        <f t="shared" si="50"/>
        <v>0</v>
      </c>
    </row>
    <row r="169" spans="1:19">
      <c r="B169" s="6" t="s">
        <v>9</v>
      </c>
      <c r="C169" s="7">
        <f t="shared" si="41"/>
        <v>46955060.402999997</v>
      </c>
      <c r="D169" s="7">
        <v>0</v>
      </c>
      <c r="E169" s="7">
        <v>0</v>
      </c>
      <c r="F169" s="2">
        <f t="shared" si="42"/>
        <v>46955060.402999997</v>
      </c>
      <c r="G169" s="10">
        <f t="shared" si="36"/>
        <v>6.1618300000000001E-3</v>
      </c>
      <c r="H169" s="2">
        <f t="shared" si="43"/>
        <v>289329</v>
      </c>
      <c r="I169" s="2">
        <f t="shared" si="44"/>
        <v>47244389.402999997</v>
      </c>
      <c r="J169" s="2">
        <f t="shared" si="45"/>
        <v>21305506</v>
      </c>
      <c r="O169" s="7">
        <f t="shared" si="46"/>
        <v>0</v>
      </c>
      <c r="P169" s="7">
        <f t="shared" si="47"/>
        <v>3357359</v>
      </c>
      <c r="Q169" s="7">
        <f t="shared" si="48"/>
        <v>0</v>
      </c>
      <c r="R169" s="7">
        <f t="shared" si="49"/>
        <v>289329</v>
      </c>
      <c r="S169" s="7">
        <f t="shared" si="50"/>
        <v>0</v>
      </c>
    </row>
    <row r="170" spans="1:19">
      <c r="B170" s="6" t="s">
        <v>10</v>
      </c>
      <c r="C170" s="7">
        <f t="shared" si="41"/>
        <v>47244389.402999997</v>
      </c>
      <c r="D170" s="7">
        <v>0</v>
      </c>
      <c r="E170" s="7">
        <v>0</v>
      </c>
      <c r="F170" s="2">
        <f t="shared" si="42"/>
        <v>47244389.402999997</v>
      </c>
      <c r="G170" s="10">
        <f t="shared" si="36"/>
        <v>6.1618300000000001E-3</v>
      </c>
      <c r="H170" s="2">
        <f t="shared" si="43"/>
        <v>291112</v>
      </c>
      <c r="I170" s="2">
        <f t="shared" si="44"/>
        <v>47535501.402999997</v>
      </c>
      <c r="J170" s="2">
        <f t="shared" si="45"/>
        <v>21596618</v>
      </c>
      <c r="O170" s="7">
        <f t="shared" si="46"/>
        <v>0</v>
      </c>
      <c r="P170" s="7">
        <f t="shared" si="47"/>
        <v>3378047</v>
      </c>
      <c r="Q170" s="7">
        <f t="shared" si="48"/>
        <v>0</v>
      </c>
      <c r="R170" s="7">
        <f t="shared" si="49"/>
        <v>291112</v>
      </c>
      <c r="S170" s="7">
        <f t="shared" si="50"/>
        <v>0</v>
      </c>
    </row>
    <row r="171" spans="1:19">
      <c r="B171" s="6" t="s">
        <v>11</v>
      </c>
      <c r="C171" s="7">
        <f t="shared" si="41"/>
        <v>47535501.402999997</v>
      </c>
      <c r="D171" s="7">
        <v>0</v>
      </c>
      <c r="E171" s="7">
        <v>0</v>
      </c>
      <c r="F171" s="2">
        <f t="shared" si="42"/>
        <v>47535501.402999997</v>
      </c>
      <c r="G171" s="10">
        <f t="shared" si="36"/>
        <v>6.1618300000000001E-3</v>
      </c>
      <c r="H171" s="2">
        <f t="shared" si="43"/>
        <v>292906</v>
      </c>
      <c r="I171" s="2">
        <f t="shared" si="44"/>
        <v>47828407.402999997</v>
      </c>
      <c r="J171" s="2">
        <f t="shared" si="45"/>
        <v>21889524</v>
      </c>
      <c r="O171" s="7">
        <f t="shared" si="46"/>
        <v>0</v>
      </c>
      <c r="P171" s="7">
        <f t="shared" si="47"/>
        <v>3398862</v>
      </c>
      <c r="Q171" s="7">
        <f t="shared" si="48"/>
        <v>0</v>
      </c>
      <c r="R171" s="7">
        <f t="shared" si="49"/>
        <v>292906</v>
      </c>
      <c r="S171" s="7">
        <f t="shared" si="50"/>
        <v>0</v>
      </c>
    </row>
    <row r="172" spans="1:19">
      <c r="B172" s="6" t="s">
        <v>37</v>
      </c>
      <c r="C172" s="7">
        <f t="shared" si="41"/>
        <v>47828407.402999997</v>
      </c>
      <c r="D172" s="7">
        <v>0</v>
      </c>
      <c r="E172" s="7">
        <v>0</v>
      </c>
      <c r="F172" s="2">
        <f t="shared" si="42"/>
        <v>47828407.402999997</v>
      </c>
      <c r="G172" s="10">
        <f t="shared" si="36"/>
        <v>6.1618300000000001E-3</v>
      </c>
      <c r="H172" s="2">
        <f t="shared" si="43"/>
        <v>294711</v>
      </c>
      <c r="I172" s="2">
        <f t="shared" si="44"/>
        <v>48123118.402999997</v>
      </c>
      <c r="J172" s="2">
        <f t="shared" si="45"/>
        <v>22184235</v>
      </c>
      <c r="O172" s="7">
        <f t="shared" si="46"/>
        <v>0</v>
      </c>
      <c r="P172" s="7">
        <f t="shared" si="47"/>
        <v>3419806</v>
      </c>
      <c r="Q172" s="7">
        <f t="shared" si="48"/>
        <v>0</v>
      </c>
      <c r="R172" s="7">
        <f t="shared" si="49"/>
        <v>294711</v>
      </c>
      <c r="S172" s="7">
        <f t="shared" si="50"/>
        <v>0</v>
      </c>
    </row>
    <row r="173" spans="1:19">
      <c r="B173" s="6" t="s">
        <v>38</v>
      </c>
      <c r="C173" s="7">
        <f t="shared" si="41"/>
        <v>48123118.402999997</v>
      </c>
      <c r="D173" s="7">
        <v>0</v>
      </c>
      <c r="E173" s="7">
        <v>0</v>
      </c>
      <c r="F173" s="2">
        <f t="shared" si="42"/>
        <v>48123118.402999997</v>
      </c>
      <c r="G173" s="10">
        <f t="shared" si="36"/>
        <v>6.1618300000000001E-3</v>
      </c>
      <c r="H173" s="2">
        <f t="shared" si="43"/>
        <v>296526</v>
      </c>
      <c r="I173" s="2">
        <f t="shared" si="44"/>
        <v>48419644.402999997</v>
      </c>
      <c r="J173" s="2">
        <f t="shared" si="45"/>
        <v>22480761</v>
      </c>
      <c r="O173" s="7">
        <f t="shared" si="46"/>
        <v>0</v>
      </c>
      <c r="P173" s="7">
        <f t="shared" si="47"/>
        <v>3440878</v>
      </c>
      <c r="Q173" s="7">
        <f t="shared" si="48"/>
        <v>0</v>
      </c>
      <c r="R173" s="7">
        <f t="shared" si="49"/>
        <v>296526</v>
      </c>
      <c r="S173" s="7">
        <f t="shared" si="50"/>
        <v>0</v>
      </c>
    </row>
    <row r="174" spans="1:19">
      <c r="B174" s="6" t="s">
        <v>14</v>
      </c>
      <c r="C174" s="7">
        <f t="shared" si="41"/>
        <v>48419644.402999997</v>
      </c>
      <c r="D174" s="7">
        <v>0</v>
      </c>
      <c r="E174" s="7">
        <v>0</v>
      </c>
      <c r="F174" s="2">
        <f t="shared" si="42"/>
        <v>48419644.402999997</v>
      </c>
      <c r="G174" s="10">
        <f t="shared" si="36"/>
        <v>6.1618300000000001E-3</v>
      </c>
      <c r="H174" s="2">
        <f t="shared" si="43"/>
        <v>298354</v>
      </c>
      <c r="I174" s="2">
        <f t="shared" si="44"/>
        <v>48717998.402999997</v>
      </c>
      <c r="J174" s="2">
        <f t="shared" si="45"/>
        <v>22779115</v>
      </c>
      <c r="O174" s="7">
        <f t="shared" si="46"/>
        <v>0</v>
      </c>
      <c r="P174" s="7">
        <f t="shared" si="47"/>
        <v>3462080</v>
      </c>
      <c r="Q174" s="7">
        <f t="shared" si="48"/>
        <v>0</v>
      </c>
      <c r="R174" s="7">
        <f t="shared" si="49"/>
        <v>298354</v>
      </c>
      <c r="S174" s="7">
        <f t="shared" si="50"/>
        <v>0</v>
      </c>
    </row>
    <row r="175" spans="1:19">
      <c r="B175" s="6" t="s">
        <v>36</v>
      </c>
      <c r="C175" s="7">
        <f t="shared" si="41"/>
        <v>48717998.402999997</v>
      </c>
      <c r="D175" s="7">
        <v>0</v>
      </c>
      <c r="E175" s="7">
        <v>0</v>
      </c>
      <c r="F175" s="2">
        <f t="shared" si="42"/>
        <v>48717998.402999997</v>
      </c>
      <c r="G175" s="10">
        <f t="shared" si="36"/>
        <v>6.1618300000000001E-3</v>
      </c>
      <c r="H175" s="2">
        <f t="shared" si="43"/>
        <v>300192</v>
      </c>
      <c r="I175" s="2">
        <f t="shared" si="44"/>
        <v>49018190.402999997</v>
      </c>
      <c r="J175" s="2">
        <f t="shared" si="45"/>
        <v>23079307</v>
      </c>
      <c r="O175" s="7">
        <f t="shared" si="46"/>
        <v>0</v>
      </c>
      <c r="P175" s="7">
        <f t="shared" si="47"/>
        <v>3483413</v>
      </c>
      <c r="Q175" s="7">
        <f t="shared" si="48"/>
        <v>0</v>
      </c>
      <c r="R175" s="7">
        <f t="shared" si="49"/>
        <v>300192</v>
      </c>
      <c r="S175" s="7">
        <f t="shared" si="50"/>
        <v>0</v>
      </c>
    </row>
    <row r="176" spans="1:19">
      <c r="B176" s="6" t="s">
        <v>16</v>
      </c>
      <c r="C176" s="7">
        <f t="shared" si="41"/>
        <v>49018190.402999997</v>
      </c>
      <c r="D176" s="7">
        <v>0</v>
      </c>
      <c r="E176" s="7">
        <v>0</v>
      </c>
      <c r="F176" s="2">
        <f t="shared" si="42"/>
        <v>49018190.402999997</v>
      </c>
      <c r="G176" s="10">
        <f t="shared" si="36"/>
        <v>6.1618300000000001E-3</v>
      </c>
      <c r="H176" s="2">
        <f t="shared" si="43"/>
        <v>302042</v>
      </c>
      <c r="I176" s="2">
        <f t="shared" si="44"/>
        <v>49320232.402999997</v>
      </c>
      <c r="J176" s="2">
        <f t="shared" si="45"/>
        <v>23381349</v>
      </c>
      <c r="O176" s="7">
        <f t="shared" si="46"/>
        <v>0</v>
      </c>
      <c r="P176" s="7">
        <f t="shared" si="47"/>
        <v>3504877</v>
      </c>
      <c r="Q176" s="7">
        <f t="shared" si="48"/>
        <v>0</v>
      </c>
      <c r="R176" s="7">
        <f t="shared" si="49"/>
        <v>302042</v>
      </c>
      <c r="S176" s="7">
        <f t="shared" si="50"/>
        <v>0</v>
      </c>
    </row>
    <row r="177" spans="1:19">
      <c r="B177" s="6" t="s">
        <v>17</v>
      </c>
      <c r="C177" s="7">
        <f t="shared" si="41"/>
        <v>49320232.402999997</v>
      </c>
      <c r="D177" s="7">
        <v>0</v>
      </c>
      <c r="E177" s="7">
        <v>0</v>
      </c>
      <c r="F177" s="2">
        <f t="shared" si="42"/>
        <v>49320232.402999997</v>
      </c>
      <c r="G177" s="10">
        <f t="shared" si="36"/>
        <v>6.1618300000000001E-3</v>
      </c>
      <c r="H177" s="2">
        <f t="shared" si="43"/>
        <v>303903</v>
      </c>
      <c r="I177" s="2">
        <f t="shared" si="44"/>
        <v>49624135.402999997</v>
      </c>
      <c r="J177" s="2">
        <f t="shared" si="45"/>
        <v>23685252</v>
      </c>
      <c r="O177" s="7">
        <f t="shared" si="46"/>
        <v>0</v>
      </c>
      <c r="P177" s="7">
        <f t="shared" si="47"/>
        <v>3526474</v>
      </c>
      <c r="Q177" s="7">
        <f t="shared" si="48"/>
        <v>0</v>
      </c>
      <c r="R177" s="7">
        <f t="shared" si="49"/>
        <v>303903</v>
      </c>
      <c r="S177" s="7">
        <f t="shared" si="50"/>
        <v>0</v>
      </c>
    </row>
    <row r="178" spans="1:19">
      <c r="B178" s="19" t="s">
        <v>18</v>
      </c>
      <c r="C178" s="7">
        <f t="shared" si="41"/>
        <v>49624135.402999997</v>
      </c>
      <c r="D178" s="7">
        <v>0</v>
      </c>
      <c r="E178" s="7">
        <v>0</v>
      </c>
      <c r="F178" s="2">
        <f t="shared" si="42"/>
        <v>49624135.402999997</v>
      </c>
      <c r="G178" s="10">
        <f t="shared" si="36"/>
        <v>6.1618300000000001E-3</v>
      </c>
      <c r="H178" s="2">
        <f t="shared" si="43"/>
        <v>305775</v>
      </c>
      <c r="I178" s="2">
        <f t="shared" si="44"/>
        <v>49929910.402999997</v>
      </c>
      <c r="J178" s="2">
        <f t="shared" si="45"/>
        <v>23991027</v>
      </c>
      <c r="O178" s="7">
        <f t="shared" si="46"/>
        <v>0</v>
      </c>
      <c r="P178" s="7">
        <f t="shared" si="47"/>
        <v>3548203</v>
      </c>
      <c r="Q178" s="7">
        <f t="shared" si="48"/>
        <v>0</v>
      </c>
      <c r="R178" s="7">
        <f t="shared" si="49"/>
        <v>305775</v>
      </c>
      <c r="S178" s="7">
        <f t="shared" si="50"/>
        <v>0</v>
      </c>
    </row>
    <row r="179" spans="1:19">
      <c r="A179" s="1">
        <f>A167+1</f>
        <v>2020</v>
      </c>
      <c r="B179" s="6" t="s">
        <v>7</v>
      </c>
      <c r="C179" s="7">
        <f t="shared" si="41"/>
        <v>49929910.402999997</v>
      </c>
      <c r="D179" s="7">
        <v>0</v>
      </c>
      <c r="E179" s="7">
        <v>0</v>
      </c>
      <c r="F179" s="2">
        <f t="shared" si="42"/>
        <v>49929910.402999997</v>
      </c>
      <c r="G179" s="10">
        <f t="shared" si="36"/>
        <v>6.1618300000000001E-3</v>
      </c>
      <c r="H179" s="2">
        <f t="shared" si="43"/>
        <v>307660</v>
      </c>
      <c r="I179" s="2">
        <f t="shared" si="44"/>
        <v>50237570.402999997</v>
      </c>
      <c r="J179" s="2">
        <f t="shared" si="45"/>
        <v>24298687</v>
      </c>
      <c r="O179" s="7">
        <f t="shared" si="46"/>
        <v>0</v>
      </c>
      <c r="P179" s="7">
        <f t="shared" si="47"/>
        <v>3570067</v>
      </c>
      <c r="Q179" s="7">
        <f t="shared" si="48"/>
        <v>0</v>
      </c>
      <c r="R179" s="7">
        <f t="shared" si="49"/>
        <v>307660</v>
      </c>
      <c r="S179" s="7">
        <f t="shared" si="50"/>
        <v>0</v>
      </c>
    </row>
    <row r="180" spans="1:19">
      <c r="B180" s="6" t="s">
        <v>8</v>
      </c>
      <c r="C180" s="7">
        <f t="shared" si="41"/>
        <v>50237570.402999997</v>
      </c>
      <c r="D180" s="7">
        <v>0</v>
      </c>
      <c r="E180" s="7">
        <v>0</v>
      </c>
      <c r="F180" s="2">
        <f t="shared" si="42"/>
        <v>50237570.402999997</v>
      </c>
      <c r="G180" s="10">
        <f t="shared" si="36"/>
        <v>6.1618300000000001E-3</v>
      </c>
      <c r="H180" s="2">
        <f t="shared" si="43"/>
        <v>309555</v>
      </c>
      <c r="I180" s="2">
        <f t="shared" si="44"/>
        <v>50547125.402999997</v>
      </c>
      <c r="J180" s="2">
        <f t="shared" si="45"/>
        <v>24608242</v>
      </c>
      <c r="O180" s="7">
        <f t="shared" si="46"/>
        <v>0</v>
      </c>
      <c r="P180" s="7">
        <f t="shared" si="47"/>
        <v>3592065</v>
      </c>
      <c r="Q180" s="7">
        <f t="shared" si="48"/>
        <v>0</v>
      </c>
      <c r="R180" s="7">
        <f t="shared" si="49"/>
        <v>309555</v>
      </c>
      <c r="S180" s="7">
        <f t="shared" si="50"/>
        <v>0</v>
      </c>
    </row>
    <row r="181" spans="1:19">
      <c r="B181" s="6" t="s">
        <v>9</v>
      </c>
      <c r="C181" s="7">
        <f t="shared" si="41"/>
        <v>50547125.402999997</v>
      </c>
      <c r="D181" s="7">
        <v>0</v>
      </c>
      <c r="E181" s="7">
        <v>0</v>
      </c>
      <c r="F181" s="2">
        <f t="shared" si="42"/>
        <v>50547125.402999997</v>
      </c>
      <c r="G181" s="10">
        <f t="shared" si="36"/>
        <v>6.1618300000000001E-3</v>
      </c>
      <c r="H181" s="2">
        <f t="shared" si="43"/>
        <v>311463</v>
      </c>
      <c r="I181" s="2">
        <f t="shared" si="44"/>
        <v>50858588.402999997</v>
      </c>
      <c r="J181" s="2">
        <f t="shared" si="45"/>
        <v>24919705</v>
      </c>
      <c r="O181" s="7">
        <f t="shared" si="46"/>
        <v>0</v>
      </c>
      <c r="P181" s="7">
        <f t="shared" si="47"/>
        <v>3614199</v>
      </c>
      <c r="Q181" s="7">
        <f t="shared" si="48"/>
        <v>0</v>
      </c>
      <c r="R181" s="7">
        <f t="shared" si="49"/>
        <v>311463</v>
      </c>
      <c r="S181" s="7">
        <f t="shared" si="50"/>
        <v>0</v>
      </c>
    </row>
    <row r="182" spans="1:19">
      <c r="B182" s="6" t="s">
        <v>10</v>
      </c>
      <c r="C182" s="7">
        <f t="shared" si="41"/>
        <v>50858588.402999997</v>
      </c>
      <c r="D182" s="7">
        <v>0</v>
      </c>
      <c r="E182" s="7">
        <v>0</v>
      </c>
      <c r="F182" s="2">
        <f t="shared" si="42"/>
        <v>50858588.402999997</v>
      </c>
      <c r="G182" s="10">
        <f t="shared" si="36"/>
        <v>6.1618300000000001E-3</v>
      </c>
      <c r="H182" s="2">
        <f t="shared" si="43"/>
        <v>313382</v>
      </c>
      <c r="I182" s="2">
        <f t="shared" si="44"/>
        <v>51171970.402999997</v>
      </c>
      <c r="J182" s="2">
        <f t="shared" si="45"/>
        <v>25233087</v>
      </c>
      <c r="O182" s="7">
        <f t="shared" si="46"/>
        <v>0</v>
      </c>
      <c r="P182" s="7">
        <f t="shared" si="47"/>
        <v>3636469</v>
      </c>
      <c r="Q182" s="7">
        <f t="shared" si="48"/>
        <v>0</v>
      </c>
      <c r="R182" s="7">
        <f t="shared" si="49"/>
        <v>313382</v>
      </c>
      <c r="S182" s="7">
        <f t="shared" si="50"/>
        <v>0</v>
      </c>
    </row>
    <row r="183" spans="1:19">
      <c r="B183" s="6" t="s">
        <v>11</v>
      </c>
      <c r="C183" s="7">
        <f t="shared" si="41"/>
        <v>51171970.402999997</v>
      </c>
      <c r="D183" s="7">
        <v>0</v>
      </c>
      <c r="E183" s="7">
        <v>0</v>
      </c>
      <c r="F183" s="2">
        <f t="shared" si="42"/>
        <v>51171970.402999997</v>
      </c>
      <c r="G183" s="10">
        <f t="shared" si="36"/>
        <v>6.1618300000000001E-3</v>
      </c>
      <c r="H183" s="2">
        <f t="shared" si="43"/>
        <v>315313</v>
      </c>
      <c r="I183" s="2">
        <f t="shared" si="44"/>
        <v>51487283.402999997</v>
      </c>
      <c r="J183" s="2">
        <f t="shared" si="45"/>
        <v>25548400</v>
      </c>
      <c r="O183" s="7">
        <f t="shared" si="46"/>
        <v>0</v>
      </c>
      <c r="P183" s="7">
        <f t="shared" si="47"/>
        <v>3658876</v>
      </c>
      <c r="Q183" s="7">
        <f t="shared" si="48"/>
        <v>0</v>
      </c>
      <c r="R183" s="7">
        <f t="shared" si="49"/>
        <v>315313</v>
      </c>
      <c r="S183" s="7">
        <f t="shared" si="50"/>
        <v>0</v>
      </c>
    </row>
    <row r="184" spans="1:19">
      <c r="B184" s="6" t="s">
        <v>37</v>
      </c>
      <c r="C184" s="7">
        <f t="shared" si="41"/>
        <v>51487283.402999997</v>
      </c>
      <c r="D184" s="7">
        <v>0</v>
      </c>
      <c r="E184" s="7">
        <v>0</v>
      </c>
      <c r="F184" s="2">
        <f t="shared" si="42"/>
        <v>51487283.402999997</v>
      </c>
      <c r="G184" s="10">
        <f t="shared" si="36"/>
        <v>6.1618300000000001E-3</v>
      </c>
      <c r="H184" s="2">
        <f t="shared" si="43"/>
        <v>317256</v>
      </c>
      <c r="I184" s="2">
        <f t="shared" si="44"/>
        <v>51804539.402999997</v>
      </c>
      <c r="J184" s="2">
        <f t="shared" si="45"/>
        <v>25865656</v>
      </c>
      <c r="O184" s="7">
        <f t="shared" si="46"/>
        <v>0</v>
      </c>
      <c r="P184" s="7">
        <f t="shared" si="47"/>
        <v>3681421</v>
      </c>
      <c r="Q184" s="7">
        <f t="shared" si="48"/>
        <v>0</v>
      </c>
      <c r="R184" s="7">
        <f t="shared" si="49"/>
        <v>317256</v>
      </c>
      <c r="S184" s="7">
        <f t="shared" si="50"/>
        <v>0</v>
      </c>
    </row>
    <row r="185" spans="1:19">
      <c r="B185" s="6" t="s">
        <v>38</v>
      </c>
      <c r="C185" s="7">
        <f t="shared" si="41"/>
        <v>51804539.402999997</v>
      </c>
      <c r="D185" s="7">
        <v>0</v>
      </c>
      <c r="E185" s="7">
        <v>0</v>
      </c>
      <c r="F185" s="2">
        <f t="shared" si="42"/>
        <v>51804539.402999997</v>
      </c>
      <c r="G185" s="10">
        <f t="shared" si="36"/>
        <v>6.1618300000000001E-3</v>
      </c>
      <c r="H185" s="2">
        <f t="shared" si="43"/>
        <v>319211</v>
      </c>
      <c r="I185" s="2">
        <f t="shared" si="44"/>
        <v>52123750.402999997</v>
      </c>
      <c r="J185" s="2">
        <f t="shared" si="45"/>
        <v>26184867</v>
      </c>
      <c r="O185" s="7">
        <f t="shared" si="46"/>
        <v>0</v>
      </c>
      <c r="P185" s="7">
        <f t="shared" si="47"/>
        <v>3704106</v>
      </c>
      <c r="Q185" s="7">
        <f t="shared" si="48"/>
        <v>0</v>
      </c>
      <c r="R185" s="7">
        <f t="shared" si="49"/>
        <v>319211</v>
      </c>
      <c r="S185" s="7">
        <f t="shared" si="50"/>
        <v>0</v>
      </c>
    </row>
    <row r="186" spans="1:19">
      <c r="B186" s="6" t="s">
        <v>14</v>
      </c>
      <c r="C186" s="7">
        <f t="shared" si="41"/>
        <v>52123750.402999997</v>
      </c>
      <c r="D186" s="7">
        <v>0</v>
      </c>
      <c r="E186" s="7">
        <v>0</v>
      </c>
      <c r="F186" s="2">
        <f t="shared" si="42"/>
        <v>52123750.402999997</v>
      </c>
      <c r="G186" s="10">
        <f t="shared" si="36"/>
        <v>6.1618300000000001E-3</v>
      </c>
      <c r="H186" s="2">
        <f t="shared" si="43"/>
        <v>321178</v>
      </c>
      <c r="I186" s="2">
        <f t="shared" si="44"/>
        <v>52444928.402999997</v>
      </c>
      <c r="J186" s="2">
        <f t="shared" si="45"/>
        <v>26506045</v>
      </c>
      <c r="O186" s="7">
        <f t="shared" si="46"/>
        <v>0</v>
      </c>
      <c r="P186" s="7">
        <f t="shared" si="47"/>
        <v>3726930</v>
      </c>
      <c r="Q186" s="7">
        <f t="shared" si="48"/>
        <v>0</v>
      </c>
      <c r="R186" s="7">
        <f t="shared" si="49"/>
        <v>321178</v>
      </c>
      <c r="S186" s="7">
        <f t="shared" si="50"/>
        <v>0</v>
      </c>
    </row>
    <row r="187" spans="1:19">
      <c r="B187" s="6" t="s">
        <v>36</v>
      </c>
      <c r="C187" s="7">
        <f t="shared" si="41"/>
        <v>52444928.402999997</v>
      </c>
      <c r="D187" s="7">
        <v>0</v>
      </c>
      <c r="E187" s="7">
        <v>0</v>
      </c>
      <c r="F187" s="2">
        <f t="shared" si="42"/>
        <v>52444928.402999997</v>
      </c>
      <c r="G187" s="10">
        <f t="shared" si="36"/>
        <v>6.1618300000000001E-3</v>
      </c>
      <c r="H187" s="2">
        <f t="shared" si="43"/>
        <v>323157</v>
      </c>
      <c r="I187" s="2">
        <f t="shared" si="44"/>
        <v>52768085.402999997</v>
      </c>
      <c r="J187" s="2">
        <f t="shared" si="45"/>
        <v>26829202</v>
      </c>
      <c r="O187" s="7">
        <f t="shared" si="46"/>
        <v>0</v>
      </c>
      <c r="P187" s="7">
        <f t="shared" si="47"/>
        <v>3749895</v>
      </c>
      <c r="Q187" s="7">
        <f t="shared" si="48"/>
        <v>0</v>
      </c>
      <c r="R187" s="7">
        <f t="shared" si="49"/>
        <v>323157</v>
      </c>
      <c r="S187" s="7">
        <f t="shared" si="50"/>
        <v>0</v>
      </c>
    </row>
    <row r="188" spans="1:19">
      <c r="B188" s="6" t="s">
        <v>16</v>
      </c>
      <c r="C188" s="7">
        <f t="shared" si="41"/>
        <v>52768085.402999997</v>
      </c>
      <c r="D188" s="7">
        <v>0</v>
      </c>
      <c r="E188" s="7">
        <v>0</v>
      </c>
      <c r="F188" s="2">
        <f t="shared" si="42"/>
        <v>52768085.402999997</v>
      </c>
      <c r="G188" s="10">
        <f t="shared" si="36"/>
        <v>6.1618300000000001E-3</v>
      </c>
      <c r="H188" s="2">
        <f t="shared" si="43"/>
        <v>325148</v>
      </c>
      <c r="I188" s="2">
        <f t="shared" si="44"/>
        <v>53093233.402999997</v>
      </c>
      <c r="J188" s="2">
        <f t="shared" si="45"/>
        <v>27154350</v>
      </c>
      <c r="O188" s="7">
        <f t="shared" si="46"/>
        <v>0</v>
      </c>
      <c r="P188" s="7">
        <f t="shared" si="47"/>
        <v>3773001</v>
      </c>
      <c r="Q188" s="7">
        <f t="shared" si="48"/>
        <v>0</v>
      </c>
      <c r="R188" s="7">
        <f t="shared" si="49"/>
        <v>325148</v>
      </c>
      <c r="S188" s="7">
        <f t="shared" si="50"/>
        <v>0</v>
      </c>
    </row>
    <row r="189" spans="1:19">
      <c r="B189" s="6" t="s">
        <v>17</v>
      </c>
      <c r="C189" s="7">
        <f t="shared" si="41"/>
        <v>53093233.402999997</v>
      </c>
      <c r="D189" s="7">
        <v>0</v>
      </c>
      <c r="E189" s="7">
        <v>0</v>
      </c>
      <c r="F189" s="2">
        <f t="shared" si="42"/>
        <v>53093233.402999997</v>
      </c>
      <c r="G189" s="10">
        <f t="shared" si="36"/>
        <v>6.1618300000000001E-3</v>
      </c>
      <c r="H189" s="2">
        <f t="shared" si="43"/>
        <v>327151</v>
      </c>
      <c r="I189" s="2">
        <f t="shared" si="44"/>
        <v>53420384.402999997</v>
      </c>
      <c r="J189" s="2">
        <f t="shared" si="45"/>
        <v>27481501</v>
      </c>
      <c r="O189" s="7">
        <f t="shared" si="46"/>
        <v>0</v>
      </c>
      <c r="P189" s="7">
        <f t="shared" si="47"/>
        <v>3796249</v>
      </c>
      <c r="Q189" s="7">
        <f t="shared" si="48"/>
        <v>0</v>
      </c>
      <c r="R189" s="7">
        <f t="shared" si="49"/>
        <v>327151</v>
      </c>
      <c r="S189" s="7">
        <f t="shared" si="50"/>
        <v>0</v>
      </c>
    </row>
    <row r="190" spans="1:19">
      <c r="B190" s="19" t="s">
        <v>18</v>
      </c>
      <c r="C190" s="7">
        <f t="shared" si="41"/>
        <v>53420384.402999997</v>
      </c>
      <c r="D190" s="7">
        <v>0</v>
      </c>
      <c r="E190" s="7">
        <v>0</v>
      </c>
      <c r="F190" s="2">
        <f t="shared" si="42"/>
        <v>53420384.402999997</v>
      </c>
      <c r="G190" s="10">
        <f t="shared" si="36"/>
        <v>6.1618300000000001E-3</v>
      </c>
      <c r="H190" s="2">
        <f t="shared" si="43"/>
        <v>329167</v>
      </c>
      <c r="I190" s="2">
        <f t="shared" si="44"/>
        <v>53749551.402999997</v>
      </c>
      <c r="J190" s="2">
        <f t="shared" si="45"/>
        <v>27810668</v>
      </c>
      <c r="O190" s="7">
        <f t="shared" si="46"/>
        <v>0</v>
      </c>
      <c r="P190" s="7">
        <f t="shared" si="47"/>
        <v>3819641</v>
      </c>
      <c r="Q190" s="7">
        <f t="shared" si="48"/>
        <v>0</v>
      </c>
      <c r="R190" s="7">
        <f t="shared" si="49"/>
        <v>329167</v>
      </c>
      <c r="S190" s="7">
        <f t="shared" si="50"/>
        <v>0</v>
      </c>
    </row>
    <row r="191" spans="1:19">
      <c r="B191" s="24"/>
      <c r="C191" s="7"/>
      <c r="D191" s="7"/>
      <c r="E191" s="7"/>
      <c r="G191" s="10"/>
      <c r="O191" s="7"/>
      <c r="P191" s="7"/>
      <c r="Q191" s="7"/>
      <c r="R191" s="7"/>
      <c r="S191" s="7"/>
    </row>
    <row r="192" spans="1:19">
      <c r="B192" s="24"/>
      <c r="C192" s="7"/>
      <c r="D192" s="7"/>
      <c r="E192" s="7"/>
      <c r="G192" s="10"/>
      <c r="O192" s="7"/>
      <c r="P192" s="7"/>
      <c r="Q192" s="7"/>
      <c r="R192" s="7"/>
      <c r="S192" s="7"/>
    </row>
    <row r="193" spans="1:19">
      <c r="B193" s="24"/>
      <c r="C193" s="7"/>
      <c r="D193" s="7"/>
      <c r="E193" s="7"/>
      <c r="G193" s="10"/>
      <c r="O193" s="7"/>
      <c r="P193" s="7"/>
      <c r="Q193" s="7"/>
      <c r="R193" s="7"/>
      <c r="S193" s="7"/>
    </row>
    <row r="194" spans="1:19" ht="15.75">
      <c r="A194" s="1" t="s">
        <v>39</v>
      </c>
      <c r="D194" s="7">
        <f>+SUM(D11:D166)</f>
        <v>13124545.032999998</v>
      </c>
      <c r="G194" s="20"/>
      <c r="H194" s="2">
        <f>ROUND(+F194*G194,0)</f>
        <v>0</v>
      </c>
      <c r="O194" s="21">
        <f>+SUM(O11:O166)</f>
        <v>13124545.032999998</v>
      </c>
      <c r="P194" s="21">
        <f>+SUM(P11:P166)</f>
        <v>33567369.033</v>
      </c>
      <c r="Q194" s="21">
        <f>+SUM(Q11:Q166)</f>
        <v>0</v>
      </c>
      <c r="R194" s="21">
        <f>+SUM(R11:R166)</f>
        <v>33567369.033</v>
      </c>
      <c r="S194" s="21">
        <f>+SUM(S11:S166)</f>
        <v>0</v>
      </c>
    </row>
    <row r="195" spans="1:19">
      <c r="G195" s="20"/>
    </row>
    <row r="196" spans="1:19">
      <c r="G196" s="20"/>
    </row>
    <row r="197" spans="1:19">
      <c r="G197" s="20"/>
    </row>
    <row r="198" spans="1:19">
      <c r="G198" s="20"/>
    </row>
    <row r="199" spans="1:19">
      <c r="G199" s="20"/>
    </row>
    <row r="200" spans="1:19">
      <c r="G200" s="20"/>
    </row>
    <row r="201" spans="1:19">
      <c r="G201" s="20"/>
    </row>
    <row r="202" spans="1:19">
      <c r="G202" s="20"/>
    </row>
    <row r="203" spans="1:19">
      <c r="G203" s="20"/>
    </row>
    <row r="204" spans="1:19">
      <c r="G204" s="20"/>
    </row>
    <row r="205" spans="1:19">
      <c r="G205" s="20"/>
    </row>
    <row r="206" spans="1:19">
      <c r="G206" s="20"/>
    </row>
    <row r="207" spans="1:19">
      <c r="G207" s="20"/>
    </row>
    <row r="208" spans="1:19">
      <c r="G208" s="20"/>
    </row>
    <row r="209" spans="7:7">
      <c r="G209" s="20"/>
    </row>
  </sheetData>
  <phoneticPr fontId="3" type="noConversion"/>
  <pageMargins left="0.75" right="0.75" top="1" bottom="1" header="0.5" footer="0.5"/>
  <pageSetup scale="50" firstPageNumber="11" fitToHeight="0" orientation="landscape" useFirstPageNumber="1" r:id="rId1"/>
  <headerFooter alignWithMargins="0">
    <oddFooter>&amp;L110138-STAFF-POD-18-&amp;P</oddFooter>
  </headerFooter>
  <ignoredErrors>
    <ignoredError sqref="H85:H88 H89:H9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view="pageLayout" topLeftCell="A82" zoomScaleNormal="100" workbookViewId="0">
      <selection activeCell="F41" sqref="F41"/>
    </sheetView>
  </sheetViews>
  <sheetFormatPr defaultRowHeight="12.75"/>
  <cols>
    <col min="1" max="1" width="40.7109375" style="47" customWidth="1"/>
    <col min="2" max="2" width="15.28515625" style="47" customWidth="1"/>
    <col min="3" max="3" width="13.42578125" style="47" customWidth="1"/>
    <col min="4" max="4" width="14.5703125" style="47" customWidth="1"/>
    <col min="5" max="5" width="9.140625" style="47"/>
    <col min="6" max="6" width="14" style="47" bestFit="1" customWidth="1"/>
    <col min="7" max="16384" width="9.140625" style="47"/>
  </cols>
  <sheetData>
    <row r="1" spans="1:4">
      <c r="A1" s="46" t="s">
        <v>91</v>
      </c>
    </row>
    <row r="2" spans="1:4">
      <c r="A2" s="46" t="s">
        <v>102</v>
      </c>
    </row>
    <row r="3" spans="1:4">
      <c r="A3" s="46" t="s">
        <v>103</v>
      </c>
    </row>
    <row r="5" spans="1:4">
      <c r="B5" s="48" t="s">
        <v>94</v>
      </c>
      <c r="C5" s="48" t="s">
        <v>89</v>
      </c>
      <c r="D5" s="48" t="s">
        <v>89</v>
      </c>
    </row>
    <row r="6" spans="1:4">
      <c r="B6" s="49">
        <v>40513</v>
      </c>
      <c r="C6" s="49">
        <v>40878</v>
      </c>
      <c r="D6" s="49">
        <v>41244</v>
      </c>
    </row>
    <row r="7" spans="1:4">
      <c r="A7" s="50" t="s">
        <v>95</v>
      </c>
      <c r="B7" s="38">
        <v>6411886</v>
      </c>
      <c r="C7" s="38">
        <f>AVERAGE('2010-2012 Reg Asset Proj (2)'!C8:O8)</f>
        <v>15596455.23076923</v>
      </c>
      <c r="D7" s="38">
        <f>'2010-2012 Reg Asset Proj (2)'!P8</f>
        <v>18140286</v>
      </c>
    </row>
    <row r="8" spans="1:4">
      <c r="A8" s="50" t="s">
        <v>96</v>
      </c>
      <c r="B8" s="38">
        <v>568840</v>
      </c>
      <c r="C8" s="38">
        <f>AVERAGE('2010-2012 Reg Asset Proj (2)'!C17:O17)</f>
        <v>735917.77046153822</v>
      </c>
      <c r="D8" s="38">
        <f>'2010-2012 Reg Asset Proj (2)'!P17</f>
        <v>778485.17299999995</v>
      </c>
    </row>
    <row r="9" spans="1:4">
      <c r="A9" s="50" t="s">
        <v>83</v>
      </c>
      <c r="B9" s="38">
        <f>SUM(B7:B8)</f>
        <v>6980726</v>
      </c>
      <c r="C9" s="38">
        <f>SUM(C7:C8)</f>
        <v>16332373.001230769</v>
      </c>
      <c r="D9" s="38">
        <f>SUM(D7:D8)</f>
        <v>18918771.173</v>
      </c>
    </row>
    <row r="10" spans="1:4">
      <c r="B10" s="38"/>
      <c r="C10" s="38"/>
      <c r="D10" s="38"/>
    </row>
    <row r="11" spans="1:4">
      <c r="A11" s="50" t="s">
        <v>4</v>
      </c>
      <c r="B11" s="38">
        <v>3362272</v>
      </c>
      <c r="C11" s="38">
        <f>AVERAGE('2010-2012 Reg Asset Proj (2)'!C34:O34)</f>
        <v>3840425.846153846</v>
      </c>
      <c r="D11" s="38">
        <f>'2010-2012 Reg Asset Proj (2)'!P33</f>
        <v>4548771.9799999995</v>
      </c>
    </row>
    <row r="12" spans="1:4">
      <c r="B12" s="38"/>
      <c r="C12" s="38"/>
      <c r="D12" s="38"/>
    </row>
    <row r="13" spans="1:4">
      <c r="A13" s="50" t="s">
        <v>97</v>
      </c>
      <c r="B13" s="38">
        <v>187238</v>
      </c>
      <c r="C13" s="38">
        <f>B13</f>
        <v>187238</v>
      </c>
      <c r="D13" s="38">
        <f>'2010-2012 Reg Asset Proj (2)'!P36</f>
        <v>187237.89</v>
      </c>
    </row>
    <row r="14" spans="1:4">
      <c r="B14" s="38"/>
      <c r="C14" s="38"/>
      <c r="D14" s="38"/>
    </row>
    <row r="15" spans="1:4">
      <c r="A15" s="50" t="s">
        <v>6</v>
      </c>
      <c r="B15" s="38">
        <v>650741</v>
      </c>
      <c r="C15" s="38">
        <f>B15</f>
        <v>650741</v>
      </c>
      <c r="D15" s="38">
        <f>'2010-2012 Reg Asset Proj (2)'!P46</f>
        <v>650741.82999999996</v>
      </c>
    </row>
    <row r="16" spans="1:4">
      <c r="B16" s="38"/>
      <c r="C16" s="38"/>
      <c r="D16" s="38"/>
    </row>
    <row r="17" spans="1:6">
      <c r="A17" s="50" t="s">
        <v>66</v>
      </c>
      <c r="B17" s="38">
        <v>33620</v>
      </c>
      <c r="C17" s="38">
        <f>B17</f>
        <v>33620</v>
      </c>
      <c r="D17" s="38">
        <f>'2010-2012 Reg Asset Proj (2)'!P53</f>
        <v>33620</v>
      </c>
    </row>
    <row r="18" spans="1:6">
      <c r="B18" s="38"/>
      <c r="C18" s="38"/>
      <c r="D18" s="38"/>
    </row>
    <row r="19" spans="1:6">
      <c r="A19" s="50" t="s">
        <v>68</v>
      </c>
      <c r="B19" s="38">
        <v>370460</v>
      </c>
      <c r="C19" s="38">
        <f>B19</f>
        <v>370460</v>
      </c>
      <c r="D19" s="38">
        <f>'2010-2012 Reg Asset Proj (2)'!P55</f>
        <v>370459.85000000003</v>
      </c>
    </row>
    <row r="20" spans="1:6">
      <c r="B20" s="39"/>
      <c r="C20" s="39"/>
      <c r="D20" s="39"/>
    </row>
    <row r="21" spans="1:6" s="46" customFormat="1">
      <c r="A21" s="46" t="s">
        <v>98</v>
      </c>
      <c r="B21" s="51">
        <f>SUM(B9:B20)</f>
        <v>11585057</v>
      </c>
      <c r="C21" s="51">
        <f>SUM(C9:C20)</f>
        <v>21414857.847384617</v>
      </c>
      <c r="D21" s="51">
        <f>SUM(D9:D20)</f>
        <v>24709602.723000001</v>
      </c>
    </row>
    <row r="22" spans="1:6">
      <c r="B22" s="38"/>
      <c r="C22" s="38"/>
      <c r="D22" s="38"/>
    </row>
    <row r="23" spans="1:6">
      <c r="A23" s="50" t="s">
        <v>99</v>
      </c>
      <c r="B23" s="38">
        <v>1229280</v>
      </c>
      <c r="C23" s="38">
        <f>C25-C21</f>
        <v>2038819.6146153808</v>
      </c>
      <c r="D23" s="38">
        <f>D25-D21</f>
        <v>4023968.3723076917</v>
      </c>
    </row>
    <row r="24" spans="1:6">
      <c r="B24" s="38"/>
      <c r="C24" s="38"/>
      <c r="D24" s="38"/>
      <c r="F24" s="2"/>
    </row>
    <row r="25" spans="1:6" s="46" customFormat="1" ht="13.5" thickBot="1">
      <c r="A25" s="46" t="s">
        <v>87</v>
      </c>
      <c r="B25" s="52">
        <f>B21+B23</f>
        <v>12814337</v>
      </c>
      <c r="C25" s="52">
        <f>AVERAGE('2010-2012 Reg Asset Proj (2)'!C63:O63)</f>
        <v>23453677.461999997</v>
      </c>
      <c r="D25" s="52">
        <f>AVERAGE('2010-2012 Reg Asset Proj (2)'!P63:AB63)</f>
        <v>28733571.095307693</v>
      </c>
      <c r="F25" s="51"/>
    </row>
    <row r="26" spans="1:6" ht="13.5" thickTop="1">
      <c r="C26" s="38"/>
      <c r="D26" s="38"/>
      <c r="F26" s="2"/>
    </row>
    <row r="27" spans="1:6">
      <c r="A27" s="50" t="s">
        <v>101</v>
      </c>
      <c r="D27" s="38">
        <f>D29-D25</f>
        <v>-1046130.692307692</v>
      </c>
      <c r="F27" s="2"/>
    </row>
    <row r="28" spans="1:6">
      <c r="F28" s="2"/>
    </row>
    <row r="29" spans="1:6" ht="13.5" thickBot="1">
      <c r="A29" s="46" t="s">
        <v>100</v>
      </c>
      <c r="B29" s="46"/>
      <c r="C29" s="46"/>
      <c r="D29" s="53">
        <f>'2010-2012 Reg Asset Proj (2)'!P63</f>
        <v>27687440.403000001</v>
      </c>
      <c r="F29" s="2"/>
    </row>
    <row r="30" spans="1:6" ht="13.5" thickTop="1">
      <c r="F30" s="2"/>
    </row>
    <row r="31" spans="1:6">
      <c r="C31" s="2"/>
      <c r="F31" s="2"/>
    </row>
  </sheetData>
  <phoneticPr fontId="0" type="noConversion"/>
  <pageMargins left="0.75" right="0.75" top="1" bottom="1" header="0.5" footer="0.5"/>
  <pageSetup scale="50" firstPageNumber="14" orientation="portrait" useFirstPageNumber="1" r:id="rId1"/>
  <headerFooter alignWithMargins="0">
    <oddFooter>&amp;L110138-STAFF-POD-18-&amp;P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Monthly Summary</vt:lpstr>
      <vt:lpstr>2010-2012 Reg Asset Proj (2)</vt:lpstr>
      <vt:lpstr>AFUDC Forecast</vt:lpstr>
      <vt:lpstr>Annual Summary</vt:lpstr>
      <vt:lpstr>'2010-2012 Reg Asset Proj (2)'!Print_Area</vt:lpstr>
      <vt:lpstr>'Monthly Summary'!Print_Area</vt:lpstr>
      <vt:lpstr>'2010-2012 Reg Asset Proj (2)'!Print_Titles</vt:lpstr>
      <vt:lpstr>'Monthly Summary'!Print_Titles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rhjmarti</dc:creator>
  <cp:lastModifiedBy>smwebste</cp:lastModifiedBy>
  <cp:lastPrinted>2011-09-02T18:11:14Z</cp:lastPrinted>
  <dcterms:created xsi:type="dcterms:W3CDTF">2008-08-12T14:23:18Z</dcterms:created>
  <dcterms:modified xsi:type="dcterms:W3CDTF">2011-09-02T19:44:24Z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1030714392</vt:i4>
  </property>
  <property fmtid="{D5CDD505-2E9C-101B-9397-08002B2CF9AE}" pid="3" name="_NewReviewCycle">
    <vt:lpwstr/>
  </property>
  <property fmtid="{D5CDD505-2E9C-101B-9397-08002B2CF9AE}" pid="4" name="_EmailSubject">
    <vt:lpwstr>Christa - Staff ROG 47 &amp; 59; POD 18</vt:lpwstr>
  </property>
  <property fmtid="{D5CDD505-2E9C-101B-9397-08002B2CF9AE}" pid="5" name="_AuthorEmail">
    <vt:lpwstr>WGBUCK@southernco.com</vt:lpwstr>
  </property>
  <property fmtid="{D5CDD505-2E9C-101B-9397-08002B2CF9AE}" pid="6" name="_AuthorEmailDisplayName">
    <vt:lpwstr>Buck, William G., III</vt:lpwstr>
  </property>
  <property fmtid="{D5CDD505-2E9C-101B-9397-08002B2CF9AE}" pid="7" name="_PreviousAdHocReviewCycleID">
    <vt:i4>-757230001</vt:i4>
  </property>
  <property fmtid="{D5CDD505-2E9C-101B-9397-08002B2CF9AE}" pid="8" name="_ReviewingToolsShownOnce">
    <vt:lpwstr/>
  </property>
</Properties>
</file>