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5235" windowWidth="19260" windowHeight="5295" tabRatio="739" activeTab="1"/>
  </bookViews>
  <sheets>
    <sheet name="Procedure" sheetId="26" r:id="rId1"/>
    <sheet name="Dec" sheetId="10" r:id="rId2"/>
    <sheet name="SOFIA" sheetId="23" r:id="rId3"/>
  </sheets>
  <externalReferences>
    <externalReference r:id="rId4"/>
    <externalReference r:id="rId5"/>
  </externalReferences>
  <definedNames>
    <definedName name="_xlnm.Print_Area" localSheetId="1">Dec!$A$1:$F$76</definedName>
    <definedName name="_xlnm.Print_Area" localSheetId="0">Procedure!$B$1:$B$40</definedName>
  </definedNames>
  <calcPr calcId="125725" calcOnSave="0"/>
</workbook>
</file>

<file path=xl/calcChain.xml><?xml version="1.0" encoding="utf-8"?>
<calcChain xmlns="http://schemas.openxmlformats.org/spreadsheetml/2006/main">
  <c r="AA3" i="10"/>
  <c r="AI19"/>
  <c r="AF24"/>
  <c r="AG21"/>
  <c r="AF59"/>
  <c r="AB59"/>
  <c r="AB31"/>
  <c r="AB15"/>
  <c r="J64"/>
  <c r="J63"/>
  <c r="J60"/>
  <c r="I64"/>
  <c r="I63"/>
  <c r="I60"/>
  <c r="B64" l="1"/>
  <c r="B63"/>
  <c r="F64"/>
  <c r="F63"/>
  <c r="B45"/>
  <c r="C45"/>
  <c r="D49"/>
  <c r="H21"/>
  <c r="F8"/>
  <c r="Q49"/>
  <c r="M49"/>
  <c r="M45"/>
  <c r="N49"/>
  <c r="R21"/>
  <c r="B31" l="1"/>
  <c r="J44"/>
  <c r="J35"/>
  <c r="Q24"/>
  <c r="F24"/>
  <c r="B15" l="1"/>
  <c r="F14"/>
  <c r="J16"/>
  <c r="F66" l="1"/>
  <c r="F55" l="1"/>
  <c r="B55"/>
  <c r="D55"/>
  <c r="D54"/>
  <c r="M5"/>
  <c r="I25" l="1"/>
  <c r="F25"/>
  <c r="F10" i="23"/>
  <c r="K10"/>
  <c r="E10"/>
  <c r="F53" i="10" l="1"/>
  <c r="F27" l="1"/>
  <c r="F23"/>
  <c r="F19"/>
  <c r="F17"/>
  <c r="P64" l="1"/>
  <c r="P63"/>
  <c r="AF68" l="1"/>
  <c r="AF67"/>
  <c r="AF66"/>
  <c r="AF65"/>
  <c r="AF64"/>
  <c r="AF63"/>
  <c r="AD68"/>
  <c r="AC68"/>
  <c r="AB68"/>
  <c r="AD67"/>
  <c r="AC67"/>
  <c r="AB67"/>
  <c r="AD66"/>
  <c r="AC66"/>
  <c r="AB66"/>
  <c r="AD65"/>
  <c r="AC65"/>
  <c r="AB65"/>
  <c r="AD64"/>
  <c r="AC64"/>
  <c r="AB64"/>
  <c r="AD63"/>
  <c r="AC63"/>
  <c r="AB63"/>
  <c r="AD57"/>
  <c r="AC57"/>
  <c r="AB57"/>
  <c r="AD56"/>
  <c r="AC56"/>
  <c r="AB56"/>
  <c r="AD55"/>
  <c r="AC55"/>
  <c r="AB55"/>
  <c r="AD54"/>
  <c r="AC54"/>
  <c r="AB54"/>
  <c r="AD53"/>
  <c r="AC53"/>
  <c r="AB53"/>
  <c r="AD52"/>
  <c r="AC52"/>
  <c r="AF57"/>
  <c r="AF56"/>
  <c r="AF55"/>
  <c r="AF54"/>
  <c r="AF53"/>
  <c r="AF41"/>
  <c r="AF40"/>
  <c r="AF33"/>
  <c r="AB33" s="1"/>
  <c r="AC33" s="1"/>
  <c r="AF32"/>
  <c r="AF31"/>
  <c r="AF27"/>
  <c r="AF26"/>
  <c r="AF25"/>
  <c r="AD25" s="1"/>
  <c r="AF23"/>
  <c r="AF17"/>
  <c r="AF16"/>
  <c r="AD16" s="1"/>
  <c r="AF15"/>
  <c r="AF14"/>
  <c r="AF9"/>
  <c r="AC9" s="1"/>
  <c r="AF8"/>
  <c r="AB8" s="1"/>
  <c r="AE68"/>
  <c r="AE67"/>
  <c r="AE66"/>
  <c r="AE65"/>
  <c r="AE64"/>
  <c r="AE63"/>
  <c r="AE59"/>
  <c r="AE57"/>
  <c r="AE56"/>
  <c r="AE55"/>
  <c r="AE54"/>
  <c r="AE53"/>
  <c r="AB42"/>
  <c r="AD40"/>
  <c r="AD42" s="1"/>
  <c r="AC40"/>
  <c r="AC42" s="1"/>
  <c r="AF34"/>
  <c r="AC31"/>
  <c r="AB27"/>
  <c r="AC25"/>
  <c r="AD23"/>
  <c r="AC23"/>
  <c r="AB23"/>
  <c r="AD17"/>
  <c r="AC17"/>
  <c r="AC16"/>
  <c r="AC15"/>
  <c r="AD15"/>
  <c r="AC14"/>
  <c r="AB9" l="1"/>
  <c r="AD9" s="1"/>
  <c r="AC8"/>
  <c r="AC10" s="1"/>
  <c r="AB16"/>
  <c r="AB10"/>
  <c r="AB34"/>
  <c r="AF10"/>
  <c r="AF70" s="1"/>
  <c r="AC34"/>
  <c r="AD8"/>
  <c r="AD10" s="1"/>
  <c r="AD33"/>
  <c r="AB14"/>
  <c r="AD14"/>
  <c r="AB17"/>
  <c r="AB25"/>
  <c r="AD31"/>
  <c r="AD34" l="1"/>
  <c r="E11" i="23"/>
  <c r="F11" s="1"/>
  <c r="E9"/>
  <c r="F9" s="1"/>
  <c r="E8"/>
  <c r="F8" s="1"/>
  <c r="E7"/>
  <c r="E6"/>
  <c r="E5"/>
  <c r="F5" s="1"/>
  <c r="E4"/>
  <c r="F4" s="1"/>
  <c r="E3"/>
  <c r="F57" i="10" l="1"/>
  <c r="B57"/>
  <c r="P6" i="23"/>
  <c r="P9" s="1"/>
  <c r="P10" s="1"/>
  <c r="Q6"/>
  <c r="Q9" s="1"/>
  <c r="Q10" s="1"/>
  <c r="O6"/>
  <c r="O9" s="1"/>
  <c r="O10" s="1"/>
  <c r="B56" i="10" l="1"/>
  <c r="B33" l="1"/>
  <c r="E59" l="1"/>
  <c r="C33" l="1"/>
  <c r="D33" l="1"/>
  <c r="D12" i="23" l="1"/>
  <c r="C12"/>
  <c r="E63" i="10" l="1"/>
  <c r="E12" i="23" l="1"/>
  <c r="F12" s="1"/>
  <c r="E2"/>
  <c r="K11"/>
  <c r="K9"/>
  <c r="K8"/>
  <c r="K7"/>
  <c r="K6"/>
  <c r="K5"/>
  <c r="K4"/>
  <c r="K3"/>
  <c r="B14" i="10"/>
  <c r="I26"/>
  <c r="I24"/>
  <c r="I23"/>
  <c r="I18"/>
  <c r="B23"/>
  <c r="B24"/>
  <c r="B16"/>
  <c r="B17"/>
  <c r="B18"/>
  <c r="B19"/>
  <c r="C31"/>
  <c r="C34" s="1"/>
  <c r="B34"/>
  <c r="B8"/>
  <c r="D8" s="1"/>
  <c r="B9"/>
  <c r="D9" s="1"/>
  <c r="C23"/>
  <c r="C24"/>
  <c r="C15"/>
  <c r="C16"/>
  <c r="C18"/>
  <c r="C19"/>
  <c r="C8"/>
  <c r="C9"/>
  <c r="C40"/>
  <c r="C42" s="1"/>
  <c r="D23"/>
  <c r="D24"/>
  <c r="D14"/>
  <c r="D15"/>
  <c r="D16"/>
  <c r="D18"/>
  <c r="D19"/>
  <c r="D40"/>
  <c r="M8"/>
  <c r="M9"/>
  <c r="M23"/>
  <c r="M25"/>
  <c r="M27"/>
  <c r="M14"/>
  <c r="M16"/>
  <c r="M17"/>
  <c r="Q18"/>
  <c r="Q19"/>
  <c r="M31"/>
  <c r="M33"/>
  <c r="R64" s="1"/>
  <c r="M40"/>
  <c r="N40" s="1"/>
  <c r="N42" s="1"/>
  <c r="M44"/>
  <c r="N8"/>
  <c r="N9"/>
  <c r="N23"/>
  <c r="N25"/>
  <c r="N14"/>
  <c r="N15"/>
  <c r="N16"/>
  <c r="N17"/>
  <c r="N31"/>
  <c r="N33"/>
  <c r="N44"/>
  <c r="O9"/>
  <c r="O23"/>
  <c r="O25"/>
  <c r="O14"/>
  <c r="O15"/>
  <c r="O16"/>
  <c r="O17"/>
  <c r="O31"/>
  <c r="O32"/>
  <c r="O33"/>
  <c r="O44"/>
  <c r="M52"/>
  <c r="P53"/>
  <c r="M54"/>
  <c r="P54" s="1"/>
  <c r="R54" s="1"/>
  <c r="Q10"/>
  <c r="Q26"/>
  <c r="Q34"/>
  <c r="E56"/>
  <c r="H56" s="1"/>
  <c r="H40"/>
  <c r="H39"/>
  <c r="P51"/>
  <c r="R51" s="1"/>
  <c r="P55"/>
  <c r="P56"/>
  <c r="R56" s="1"/>
  <c r="P57"/>
  <c r="P59"/>
  <c r="R59" s="1"/>
  <c r="P67"/>
  <c r="P68"/>
  <c r="E55"/>
  <c r="H55" s="1"/>
  <c r="E52"/>
  <c r="E53"/>
  <c r="E57"/>
  <c r="H57" s="1"/>
  <c r="H63"/>
  <c r="E64"/>
  <c r="E66"/>
  <c r="E65"/>
  <c r="E67"/>
  <c r="E68"/>
  <c r="H68" s="1"/>
  <c r="F10"/>
  <c r="F34"/>
  <c r="H37"/>
  <c r="H67"/>
  <c r="K2" i="23"/>
  <c r="K12" s="1"/>
  <c r="L59" i="10"/>
  <c r="L52"/>
  <c r="L17"/>
  <c r="H59"/>
  <c r="K67"/>
  <c r="H53"/>
  <c r="H52"/>
  <c r="R57"/>
  <c r="L3"/>
  <c r="B42"/>
  <c r="D42"/>
  <c r="M42"/>
  <c r="H51"/>
  <c r="R55"/>
  <c r="R53"/>
  <c r="R63"/>
  <c r="R68"/>
  <c r="C10"/>
  <c r="F20"/>
  <c r="O40"/>
  <c r="O42" s="1"/>
  <c r="M34"/>
  <c r="B10"/>
  <c r="F28"/>
  <c r="Q70"/>
  <c r="Q28"/>
  <c r="Q20"/>
  <c r="O19"/>
  <c r="O24"/>
  <c r="O28" s="1"/>
  <c r="N18"/>
  <c r="D31"/>
  <c r="D34" s="1"/>
  <c r="D17"/>
  <c r="C17"/>
  <c r="H20" l="1"/>
  <c r="H22" s="1"/>
  <c r="M18"/>
  <c r="AF18"/>
  <c r="P52"/>
  <c r="R52" s="1"/>
  <c r="AB52"/>
  <c r="AE52" s="1"/>
  <c r="AD24"/>
  <c r="AD28" s="1"/>
  <c r="AB24"/>
  <c r="AB28" s="1"/>
  <c r="AC24"/>
  <c r="AC28" s="1"/>
  <c r="AF28"/>
  <c r="AG20" s="1"/>
  <c r="AG22" s="1"/>
  <c r="M19"/>
  <c r="AF19"/>
  <c r="N19"/>
  <c r="N20" s="1"/>
  <c r="O34"/>
  <c r="H64"/>
  <c r="N34"/>
  <c r="O18"/>
  <c r="O20" s="1"/>
  <c r="F70"/>
  <c r="R20"/>
  <c r="R22" s="1"/>
  <c r="N10"/>
  <c r="F36"/>
  <c r="I69"/>
  <c r="O8"/>
  <c r="O10" s="1"/>
  <c r="M10"/>
  <c r="Q36"/>
  <c r="M20"/>
  <c r="D20"/>
  <c r="H65"/>
  <c r="D10"/>
  <c r="B20"/>
  <c r="H66"/>
  <c r="M24"/>
  <c r="M28" s="1"/>
  <c r="N24"/>
  <c r="N28" s="1"/>
  <c r="E54"/>
  <c r="H54" s="1"/>
  <c r="C14"/>
  <c r="C20" s="1"/>
  <c r="B27"/>
  <c r="B25"/>
  <c r="C25"/>
  <c r="C28" s="1"/>
  <c r="D25"/>
  <c r="D28" s="1"/>
  <c r="AC18" l="1"/>
  <c r="AD18"/>
  <c r="AB18"/>
  <c r="D36"/>
  <c r="AD19"/>
  <c r="AD20" s="1"/>
  <c r="AD36" s="1"/>
  <c r="AD43" s="1"/>
  <c r="AD45" s="1"/>
  <c r="AD47" s="1"/>
  <c r="AD49" s="1"/>
  <c r="AD58" s="1"/>
  <c r="AD60" s="1"/>
  <c r="AD69" s="1"/>
  <c r="AB19"/>
  <c r="AB20" s="1"/>
  <c r="AB36" s="1"/>
  <c r="AB43" s="1"/>
  <c r="AB45" s="1"/>
  <c r="AB47" s="1"/>
  <c r="AB49" s="1"/>
  <c r="AF20"/>
  <c r="AF36" s="1"/>
  <c r="AC19"/>
  <c r="AC20" s="1"/>
  <c r="AC36" s="1"/>
  <c r="AC43" s="1"/>
  <c r="AC45" s="1"/>
  <c r="AC47" s="1"/>
  <c r="AC49" s="1"/>
  <c r="AC58" s="1"/>
  <c r="AC60" s="1"/>
  <c r="AC69" s="1"/>
  <c r="N36"/>
  <c r="N43" s="1"/>
  <c r="N45" s="1"/>
  <c r="O36"/>
  <c r="O43" s="1"/>
  <c r="O45" s="1"/>
  <c r="C36"/>
  <c r="C43" s="1"/>
  <c r="B28"/>
  <c r="B36" s="1"/>
  <c r="M36"/>
  <c r="M43" s="1"/>
  <c r="O49" l="1"/>
  <c r="O58" s="1"/>
  <c r="O60" s="1"/>
  <c r="O69" s="1"/>
  <c r="AB58"/>
  <c r="AB60" s="1"/>
  <c r="AB69" s="1"/>
  <c r="AE49"/>
  <c r="B43"/>
  <c r="D43"/>
  <c r="D45" s="1"/>
  <c r="N58"/>
  <c r="N60" s="1"/>
  <c r="N69" s="1"/>
  <c r="C47"/>
  <c r="C49" s="1"/>
  <c r="B47" l="1"/>
  <c r="B49" s="1"/>
  <c r="AE58"/>
  <c r="AE60" s="1"/>
  <c r="AE69" s="1"/>
  <c r="AF39"/>
  <c r="D47"/>
  <c r="M58"/>
  <c r="M60" s="1"/>
  <c r="M69" s="1"/>
  <c r="P49"/>
  <c r="P58" s="1"/>
  <c r="C58"/>
  <c r="C60" s="1"/>
  <c r="AF43" l="1"/>
  <c r="AF49" s="1"/>
  <c r="AF58" s="1"/>
  <c r="AF60" s="1"/>
  <c r="AF69" s="1"/>
  <c r="AF71" s="1"/>
  <c r="AF72" s="1"/>
  <c r="AF42"/>
  <c r="D58"/>
  <c r="D60" s="1"/>
  <c r="D69" s="1"/>
  <c r="C69"/>
  <c r="Q39"/>
  <c r="Q42" s="1"/>
  <c r="B58"/>
  <c r="B60" s="1"/>
  <c r="P60"/>
  <c r="E49" l="1"/>
  <c r="F39" s="1"/>
  <c r="B69"/>
  <c r="Q43"/>
  <c r="P69"/>
  <c r="Q58" l="1"/>
  <c r="E58"/>
  <c r="E60" s="1"/>
  <c r="F42"/>
  <c r="F43"/>
  <c r="F49" s="1"/>
  <c r="R49" l="1"/>
  <c r="Q60"/>
  <c r="Q69" s="1"/>
  <c r="Q71" s="1"/>
  <c r="R58"/>
  <c r="E69"/>
  <c r="H49"/>
  <c r="F58"/>
  <c r="R60" l="1"/>
  <c r="R69" s="1"/>
  <c r="F60"/>
  <c r="H58"/>
  <c r="R71"/>
  <c r="Q72"/>
  <c r="H60" l="1"/>
  <c r="H69" s="1"/>
  <c r="F69"/>
  <c r="F71" s="1"/>
  <c r="I74" l="1"/>
  <c r="G71"/>
  <c r="I72"/>
  <c r="F72" l="1"/>
  <c r="H73"/>
  <c r="H72"/>
  <c r="J69" l="1"/>
  <c r="J72" s="1"/>
</calcChain>
</file>

<file path=xl/comments1.xml><?xml version="1.0" encoding="utf-8"?>
<comments xmlns="http://schemas.openxmlformats.org/spreadsheetml/2006/main">
  <authors>
    <author>sajordan</author>
  </authors>
  <commentList>
    <comment ref="F14" authorId="0">
      <text>
        <r>
          <rPr>
            <b/>
            <sz val="8"/>
            <color indexed="81"/>
            <rFont val="Tahoma"/>
            <family val="2"/>
          </rPr>
          <t>sajordan:</t>
        </r>
        <r>
          <rPr>
            <sz val="8"/>
            <color indexed="81"/>
            <rFont val="Tahoma"/>
            <family val="2"/>
          </rPr>
          <t xml:space="preserve">
includes Reversal of Flow Through Items
Fed Life FT Fed
Federal ITC Basis Red Fed , AFUDC EQUITY
Debt Gross FT Fed
AFUDC Debt Not Fed
Federal Indirect Cost Ft Fed
AFUDC Flowthrough and Other FLowThrough Reversal See rpt 120 Flowthrough
only Source of Reversal of FLowThru is PTRpt 120
</t>
        </r>
      </text>
    </comment>
    <comment ref="AF14" authorId="0">
      <text>
        <r>
          <rPr>
            <b/>
            <sz val="8"/>
            <color indexed="81"/>
            <rFont val="Tahoma"/>
            <family val="2"/>
          </rPr>
          <t>sajordan:</t>
        </r>
        <r>
          <rPr>
            <sz val="8"/>
            <color indexed="81"/>
            <rFont val="Tahoma"/>
            <family val="2"/>
          </rPr>
          <t xml:space="preserve">
includes Reversal of Flow Through Items
Fed Life FT Fed
Federal ITC Basis Red Fed , AFUDC EQUITY
Debt Gross FT Fed
AFUDC Debt Not Fed
Federal Indirect Cost Ft Fed
AFUDC Flowthrough and Other FLowThrough Reversal See rpt 120 Flowthrough
only Source of Reversal of FLowThru is PTRpt 120
</t>
        </r>
      </text>
    </comment>
    <comment ref="B15" authorId="0">
      <text>
        <r>
          <rPr>
            <b/>
            <sz val="8"/>
            <color indexed="81"/>
            <rFont val="Tahoma"/>
            <family val="2"/>
          </rPr>
          <t xml:space="preserve">sajordan:
</t>
        </r>
        <r>
          <rPr>
            <sz val="8"/>
            <color indexed="81"/>
            <rFont val="Tahoma"/>
            <family val="2"/>
          </rPr>
          <t>Compare to Rpt 51011 State: FAS109 FLOWTHRU and FAS109 ITC
In Rpt 120 this Fed Flow Through minus State Flow Through</t>
        </r>
      </text>
    </comment>
    <comment ref="AB15" authorId="0">
      <text>
        <r>
          <rPr>
            <b/>
            <sz val="8"/>
            <color indexed="81"/>
            <rFont val="Tahoma"/>
            <family val="2"/>
          </rPr>
          <t xml:space="preserve">sajordan:
</t>
        </r>
        <r>
          <rPr>
            <sz val="8"/>
            <color indexed="81"/>
            <rFont val="Tahoma"/>
            <family val="2"/>
          </rPr>
          <t>Compare to Rpt 51011 State: FAS109 FLOWTHRU and FAS109 ITC
In Rpt 120 this Fed Flow Through minus State Flow Through</t>
        </r>
      </text>
    </comment>
    <comment ref="R17" authorId="0">
      <text>
        <r>
          <rPr>
            <b/>
            <sz val="8"/>
            <color indexed="81"/>
            <rFont val="Tahoma"/>
            <family val="2"/>
          </rPr>
          <t>sajordan:</t>
        </r>
        <r>
          <rPr>
            <sz val="8"/>
            <color indexed="81"/>
            <rFont val="Tahoma"/>
            <family val="2"/>
          </rPr>
          <t xml:space="preserve">
Only include club dues</t>
        </r>
      </text>
    </comment>
    <comment ref="AG17" authorId="0">
      <text>
        <r>
          <rPr>
            <b/>
            <sz val="8"/>
            <color indexed="81"/>
            <rFont val="Tahoma"/>
            <family val="2"/>
          </rPr>
          <t>sajordan:</t>
        </r>
        <r>
          <rPr>
            <sz val="8"/>
            <color indexed="81"/>
            <rFont val="Tahoma"/>
            <family val="2"/>
          </rPr>
          <t xml:space="preserve">
Only include club dues</t>
        </r>
      </text>
    </comment>
    <comment ref="A19" authorId="0">
      <text>
        <r>
          <rPr>
            <b/>
            <sz val="8"/>
            <color indexed="81"/>
            <rFont val="Tahoma"/>
            <family val="2"/>
          </rPr>
          <t>sajordan:</t>
        </r>
        <r>
          <rPr>
            <sz val="8"/>
            <color indexed="81"/>
            <rFont val="Tahoma"/>
            <family val="2"/>
          </rPr>
          <t xml:space="preserve">
Lobbying</t>
        </r>
      </text>
    </comment>
    <comment ref="AA19" authorId="0">
      <text>
        <r>
          <rPr>
            <b/>
            <sz val="8"/>
            <color indexed="81"/>
            <rFont val="Tahoma"/>
            <family val="2"/>
          </rPr>
          <t>sajordan:</t>
        </r>
        <r>
          <rPr>
            <sz val="8"/>
            <color indexed="81"/>
            <rFont val="Tahoma"/>
            <family val="2"/>
          </rPr>
          <t xml:space="preserve">
Lobbying</t>
        </r>
      </text>
    </comment>
    <comment ref="H21" authorId="0">
      <text>
        <r>
          <rPr>
            <b/>
            <sz val="8"/>
            <color indexed="81"/>
            <rFont val="Tahoma"/>
            <family val="2"/>
          </rPr>
          <t xml:space="preserve">sajordan:
</t>
        </r>
        <r>
          <rPr>
            <sz val="8"/>
            <color indexed="81"/>
            <rFont val="Tahoma"/>
            <family val="2"/>
          </rPr>
          <t>Total Permanent plus Total Flow-Through</t>
        </r>
      </text>
    </comment>
    <comment ref="R21" authorId="0">
      <text>
        <r>
          <rPr>
            <b/>
            <sz val="8"/>
            <color indexed="81"/>
            <rFont val="Tahoma"/>
            <family val="2"/>
          </rPr>
          <t xml:space="preserve">sajordan:
</t>
        </r>
        <r>
          <rPr>
            <sz val="8"/>
            <color indexed="81"/>
            <rFont val="Tahoma"/>
            <family val="2"/>
          </rPr>
          <t>Total Permanent plus Total Flow-Through</t>
        </r>
      </text>
    </comment>
    <comment ref="AG21" authorId="0">
      <text>
        <r>
          <rPr>
            <b/>
            <sz val="8"/>
            <color indexed="81"/>
            <rFont val="Tahoma"/>
            <family val="2"/>
          </rPr>
          <t xml:space="preserve">sajordan:
</t>
        </r>
        <r>
          <rPr>
            <sz val="8"/>
            <color indexed="81"/>
            <rFont val="Tahoma"/>
            <family val="2"/>
          </rPr>
          <t>Total Permanent plus Total Flow-Through</t>
        </r>
      </text>
    </comment>
    <comment ref="AF27" authorId="0">
      <text>
        <r>
          <rPr>
            <b/>
            <sz val="8"/>
            <color indexed="81"/>
            <rFont val="Tahoma"/>
            <family val="2"/>
          </rPr>
          <t>sajordan:</t>
        </r>
        <r>
          <rPr>
            <sz val="8"/>
            <color indexed="81"/>
            <rFont val="Tahoma"/>
            <family val="2"/>
          </rPr>
          <t xml:space="preserve">
Reversed Sep-09  entry for 2008  Actualization of $829,149.0 in Oct-09</t>
        </r>
      </text>
    </comment>
    <comment ref="B31" authorId="0">
      <text>
        <r>
          <rPr>
            <b/>
            <sz val="8"/>
            <color indexed="81"/>
            <rFont val="Tahoma"/>
            <family val="2"/>
          </rPr>
          <t>sajordan:</t>
        </r>
        <r>
          <rPr>
            <sz val="8"/>
            <color indexed="81"/>
            <rFont val="Tahoma"/>
            <family val="2"/>
          </rPr>
          <t xml:space="preserve">
Federal Property Related plus State (Accel Depr,  Depr - Basis Diff, Depr - Life Diff)  See Rpt 51011</t>
        </r>
      </text>
    </comment>
    <comment ref="AB31" authorId="0">
      <text>
        <r>
          <rPr>
            <b/>
            <sz val="8"/>
            <color indexed="81"/>
            <rFont val="Tahoma"/>
            <family val="2"/>
          </rPr>
          <t>sajordan:</t>
        </r>
        <r>
          <rPr>
            <sz val="8"/>
            <color indexed="81"/>
            <rFont val="Tahoma"/>
            <family val="2"/>
          </rPr>
          <t xml:space="preserve">
Federal Property Related plus State (Accel Depr,  Depr - Basis Diff, Depr - Life Diff)  See Rpt 51011</t>
        </r>
      </text>
    </comment>
    <comment ref="B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C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D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AB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AC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AD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F53" authorId="0">
      <text>
        <r>
          <rPr>
            <b/>
            <sz val="8"/>
            <color indexed="81"/>
            <rFont val="Tahoma"/>
            <family val="2"/>
          </rPr>
          <t>sajordan:</t>
        </r>
        <r>
          <rPr>
            <sz val="8"/>
            <color indexed="81"/>
            <rFont val="Tahoma"/>
            <family val="2"/>
          </rPr>
          <t xml:space="preserve">
This should be the gross amount.  The reserve is included separately in FIN48</t>
        </r>
      </text>
    </comment>
    <comment ref="D55" authorId="0">
      <text>
        <r>
          <rPr>
            <b/>
            <sz val="8"/>
            <color indexed="81"/>
            <rFont val="Tahoma"/>
            <family val="2"/>
          </rPr>
          <t>sajordan:</t>
        </r>
        <r>
          <rPr>
            <sz val="8"/>
            <color indexed="81"/>
            <rFont val="Tahoma"/>
            <family val="2"/>
          </rPr>
          <t xml:space="preserve">
Do not update formula except for qtr-end months</t>
        </r>
      </text>
    </comment>
    <comment ref="AD55" authorId="0">
      <text>
        <r>
          <rPr>
            <b/>
            <sz val="8"/>
            <color indexed="81"/>
            <rFont val="Tahoma"/>
            <family val="2"/>
          </rPr>
          <t>sajordan:</t>
        </r>
        <r>
          <rPr>
            <sz val="8"/>
            <color indexed="81"/>
            <rFont val="Tahoma"/>
            <family val="2"/>
          </rPr>
          <t xml:space="preserve">
Do not update formula except for qtr-end months</t>
        </r>
      </text>
    </comment>
    <comment ref="A56" authorId="0">
      <text>
        <r>
          <rPr>
            <b/>
            <sz val="8"/>
            <color indexed="81"/>
            <rFont val="Tahoma"/>
            <family val="2"/>
          </rPr>
          <t>sajordan:</t>
        </r>
        <r>
          <rPr>
            <sz val="8"/>
            <color indexed="81"/>
            <rFont val="Tahoma"/>
            <family val="2"/>
          </rPr>
          <t xml:space="preserve">
This amount does not come from PowerPlant.  See JV TAX-3017</t>
        </r>
      </text>
    </comment>
    <comment ref="AA56" authorId="0">
      <text>
        <r>
          <rPr>
            <b/>
            <sz val="8"/>
            <color indexed="81"/>
            <rFont val="Tahoma"/>
            <family val="2"/>
          </rPr>
          <t>sajordan:</t>
        </r>
        <r>
          <rPr>
            <sz val="8"/>
            <color indexed="81"/>
            <rFont val="Tahoma"/>
            <family val="2"/>
          </rPr>
          <t xml:space="preserve">
This amount does not come from PowerPlant.  See JV TAX-3017</t>
        </r>
      </text>
    </comment>
  </commentList>
</comments>
</file>

<file path=xl/sharedStrings.xml><?xml version="1.0" encoding="utf-8"?>
<sst xmlns="http://schemas.openxmlformats.org/spreadsheetml/2006/main" count="438" uniqueCount="215">
  <si>
    <t>Acct 426.3</t>
  </si>
  <si>
    <t>NON DEDUCTIBLE BOOK DEPR STATE INCREM</t>
  </si>
  <si>
    <t xml:space="preserve">STATE TIMING RATE DIFF PROPERTY RELATED </t>
  </si>
  <si>
    <t>Budget</t>
  </si>
  <si>
    <t>PowerTax Budget</t>
  </si>
  <si>
    <t>Meals Calculation</t>
  </si>
  <si>
    <t>41100420, 41100422</t>
  </si>
  <si>
    <t>Calculated</t>
  </si>
  <si>
    <t>Rule of Law</t>
  </si>
  <si>
    <t>Apportionment Factors from prior Year Tax return</t>
  </si>
  <si>
    <t>FLORIDA</t>
  </si>
  <si>
    <t>MISSISSIPPI</t>
  </si>
  <si>
    <t>GEORGIA</t>
  </si>
  <si>
    <t>FEDERAL</t>
  </si>
  <si>
    <t>ADDITIONS:</t>
  </si>
  <si>
    <t>FEDERAL INCOME TAX</t>
  </si>
  <si>
    <t>NON DEDUCTIBLE BOOK DEPRECIATION</t>
  </si>
  <si>
    <t>MEALS &amp; ENTERTAINMENT</t>
  </si>
  <si>
    <t>SECTION 162 / 274</t>
  </si>
  <si>
    <t>TOTAL</t>
  </si>
  <si>
    <t>DEDUCTIONS:</t>
  </si>
  <si>
    <t>AMORTIZATION OF ITC</t>
  </si>
  <si>
    <t>AFUDC EQUITY</t>
  </si>
  <si>
    <t>MEDICARE SUBSIDY</t>
  </si>
  <si>
    <t>ELECTRIC - SECTION 199 DEDUCTION</t>
  </si>
  <si>
    <t>SPECIAL ADJUSTMENTS:</t>
  </si>
  <si>
    <t>STATE INCOME TAX DEDUCTION</t>
  </si>
  <si>
    <t>TAX EXEMPTED INTEREST</t>
  </si>
  <si>
    <t>CREDITS:  FL SCHOLARSHIP&amp;EET  FED R&amp;D</t>
  </si>
  <si>
    <t>FLORIDA SURTAX EXEMPTION</t>
  </si>
  <si>
    <t>TAXABLE INCOME</t>
  </si>
  <si>
    <t>TOTAL INCOME TAX PROVISION</t>
  </si>
  <si>
    <t>GULF POWER COMPANY</t>
  </si>
  <si>
    <t>INCOME TAX EXPENSE</t>
  </si>
  <si>
    <t>SCHEDULE 60 SUPP. NO. 2</t>
  </si>
  <si>
    <t xml:space="preserve">TOTAL </t>
  </si>
  <si>
    <t>TIMING DIFFERENCES</t>
  </si>
  <si>
    <t>OTHER</t>
  </si>
  <si>
    <t>TOTAL TEMPORARY DIFFERENCES</t>
  </si>
  <si>
    <t>FIN 48</t>
  </si>
  <si>
    <t>ADJUSTMENTS</t>
  </si>
  <si>
    <t>CALCULATED TAX</t>
  </si>
  <si>
    <t>LESS CREDITS AND ADJUSTMENTS</t>
  </si>
  <si>
    <t>STATE</t>
  </si>
  <si>
    <t>APPORTIONMENT FACTORS</t>
  </si>
  <si>
    <t>STATE INCOME APPORTIONED</t>
  </si>
  <si>
    <t>CURRENT PRIOR PERIOD ADJUSTMENT</t>
  </si>
  <si>
    <t>TAXABLE INCOME (POWERTAX)</t>
  </si>
  <si>
    <t>PROPERTY RELATED</t>
  </si>
  <si>
    <t>PRE-TAX NET INCOME PER BOOKS</t>
  </si>
  <si>
    <t>PENALTIES</t>
  </si>
  <si>
    <t>POWERPLAN CURRENT</t>
  </si>
  <si>
    <t>SCH4A</t>
  </si>
  <si>
    <t>SCH60A</t>
  </si>
  <si>
    <t>TOTAL GENERAL LEDGER</t>
  </si>
  <si>
    <t>41900100</t>
  </si>
  <si>
    <t>TOTAL FEDERAL AND STATE INCOME TAX</t>
  </si>
  <si>
    <t>SOFIA Less Proforma Utility Taxes JV2042</t>
  </si>
  <si>
    <t>Federal</t>
  </si>
  <si>
    <t>Net Inc After Tax</t>
  </si>
  <si>
    <t>Income Tax</t>
  </si>
  <si>
    <t>Net Inc Before Tax</t>
  </si>
  <si>
    <t>DIFFERENCE</t>
  </si>
  <si>
    <t>TOTAL FED &amp; STATE</t>
  </si>
  <si>
    <t>PROFORMA</t>
  </si>
  <si>
    <t>NON-UTILITY INCOME TAX EXPENSE</t>
  </si>
  <si>
    <t>AFFIRMATIVE ADJUSTMENTS</t>
  </si>
  <si>
    <t>R&amp;D CREDIT</t>
  </si>
  <si>
    <t>Gulf Power Company</t>
  </si>
  <si>
    <t>Total</t>
  </si>
  <si>
    <t>POST APPORT: FLORIDA SURTAX EXEMPTION</t>
  </si>
  <si>
    <t>TAXABLE INCOME BEFORE APPORTIONMENT</t>
  </si>
  <si>
    <t xml:space="preserve">TAXABLE INCOME </t>
  </si>
  <si>
    <t>SCHOLARSHIP CREDIT</t>
  </si>
  <si>
    <t>Difference</t>
  </si>
  <si>
    <t xml:space="preserve">APPORTIONMENT FACTORS  </t>
  </si>
  <si>
    <t xml:space="preserve">Gulf Power </t>
  </si>
  <si>
    <t xml:space="preserve"> </t>
  </si>
  <si>
    <t>SYSTEM AIRCRAFT AND CLUB DUES</t>
  </si>
  <si>
    <t>Budget sys air Act Club Dues</t>
  </si>
  <si>
    <t>41900012</t>
  </si>
  <si>
    <t>FERCSUB</t>
  </si>
  <si>
    <t>FERCSUB Descr</t>
  </si>
  <si>
    <t>% Difference</t>
  </si>
  <si>
    <t>41100420</t>
  </si>
  <si>
    <t>AM INV TX FD 10</t>
  </si>
  <si>
    <t>41100422</t>
  </si>
  <si>
    <t>AM JOB DEV CR 4</t>
  </si>
  <si>
    <t>MUNICIPAL INTEREST-TAX FREE</t>
  </si>
  <si>
    <t>AFUDC - EQUITY PORTION</t>
  </si>
  <si>
    <t>42630000</t>
  </si>
  <si>
    <t>92600402</t>
  </si>
  <si>
    <t>EE P&amp;B-BEN-MEDIC DRUG SUBSIDY</t>
  </si>
  <si>
    <t xml:space="preserve">Database: </t>
  </si>
  <si>
    <t xml:space="preserve"> Beginning Balances: </t>
  </si>
  <si>
    <t xml:space="preserve">Information View: </t>
  </si>
  <si>
    <t xml:space="preserve">Financial View </t>
  </si>
  <si>
    <t xml:space="preserve"> Period 13: </t>
  </si>
  <si>
    <t>NO</t>
  </si>
  <si>
    <t xml:space="preserve">Loaded Query Name: </t>
  </si>
  <si>
    <t xml:space="preserve"> Commitments: </t>
  </si>
  <si>
    <t xml:space="preserve">Data Types: </t>
  </si>
  <si>
    <t xml:space="preserve">ACTUALS </t>
  </si>
  <si>
    <t xml:space="preserve"> ACTUALS </t>
  </si>
  <si>
    <t xml:space="preserve">Months: </t>
  </si>
  <si>
    <t xml:space="preserve">PerForming RCN: </t>
  </si>
  <si>
    <t xml:space="preserve">Activity: </t>
  </si>
  <si>
    <t xml:space="preserve">Resource Type: </t>
  </si>
  <si>
    <t xml:space="preserve">Ferc Sub: </t>
  </si>
  <si>
    <t>Incl 42630000 thru 42630000</t>
  </si>
  <si>
    <t xml:space="preserve"> Incl 41100420 thru 41100422</t>
  </si>
  <si>
    <t xml:space="preserve"> Incl 41900100 thru 41900100</t>
  </si>
  <si>
    <t xml:space="preserve"> Incl 92600402 thru 92600402</t>
  </si>
  <si>
    <t xml:space="preserve"> Incl 41900012 thru 41900012</t>
  </si>
  <si>
    <t xml:space="preserve">Project: </t>
  </si>
  <si>
    <t xml:space="preserve">Location: </t>
  </si>
  <si>
    <t xml:space="preserve">Receiving ORG: </t>
  </si>
  <si>
    <t xml:space="preserve">Allocation Indicator: </t>
  </si>
  <si>
    <t xml:space="preserve">Work Order: </t>
  </si>
  <si>
    <t xml:space="preserve">Drill Drown: </t>
  </si>
  <si>
    <t xml:space="preserve"> PRCN </t>
  </si>
  <si>
    <t xml:space="preserve"> Activity </t>
  </si>
  <si>
    <t xml:space="preserve"> R/T </t>
  </si>
  <si>
    <t xml:space="preserve"> FercSub </t>
  </si>
  <si>
    <t xml:space="preserve"> Loc </t>
  </si>
  <si>
    <t xml:space="preserve"> Project </t>
  </si>
  <si>
    <t xml:space="preserve"> EWO </t>
  </si>
  <si>
    <t xml:space="preserve"> AI </t>
  </si>
  <si>
    <t>STATUTORY TAX RATE</t>
  </si>
  <si>
    <t>Internal Controls:</t>
  </si>
  <si>
    <t>TX01.01.01 - Verify Pre Tax Net Income</t>
  </si>
  <si>
    <t>TX01.01.08 - Rates &amp; Provision</t>
  </si>
  <si>
    <t>TX01.01.09 - Independent Provision Calculation</t>
  </si>
  <si>
    <t>FR 06.00.01 - Agree Operating Reports to GL</t>
  </si>
  <si>
    <t xml:space="preserve">Prepared by: </t>
  </si>
  <si>
    <t>GEORGIA INVESTMENT TAX CREDIT</t>
  </si>
  <si>
    <t>FIN48 STATE OFFSET FOR FEDERAL - 410</t>
  </si>
  <si>
    <t>FIN48 STATE OFFSET FOR FEDERAL - 411</t>
  </si>
  <si>
    <t>DEFERRED TAX PAYBACK - 411</t>
  </si>
  <si>
    <t>DEFERRED TAX PROVISION - 410</t>
  </si>
  <si>
    <t>PRIOR PERIOD PROVISION - 410</t>
  </si>
  <si>
    <t>PRIOR PERIOD PAYBACK - 411</t>
  </si>
  <si>
    <t>After 2nd close</t>
  </si>
  <si>
    <t>change in 3rd close</t>
  </si>
  <si>
    <t>Financial &amp; Regulatory Reporting Dept.</t>
  </si>
  <si>
    <t>Tax Cycle - Desktop Procedures</t>
  </si>
  <si>
    <t>Operating Reports:</t>
  </si>
  <si>
    <t>While entering information, be sure to read all notes and comments in the file.</t>
  </si>
  <si>
    <t>In general, amounts in a font color other than black indicates manual inputs</t>
  </si>
  <si>
    <t>Sch 60 Supplement 2 - Income Tax Expense
(Including Non-Utility Income Tax Expense)</t>
  </si>
  <si>
    <t>Approved Final Budget</t>
  </si>
  <si>
    <t>General Notes:</t>
  </si>
  <si>
    <t>Distribution List</t>
  </si>
  <si>
    <t>Reconciliation and Check Figures</t>
  </si>
  <si>
    <t>Robert Bullard; Amy Zoesch</t>
  </si>
  <si>
    <t>Reconcile Net Income After Tax to Corporate Accounting's Preliminary Income Statement</t>
  </si>
  <si>
    <t>Reconcile Deferred Taxes (FERC 410 and 411) to Sch 4A and Sch 60A</t>
  </si>
  <si>
    <t>PowerPlan Reports 51000, 51011, and 51040</t>
  </si>
  <si>
    <t>Data Sources and Instructions:</t>
  </si>
  <si>
    <t xml:space="preserve"> - Run Query S:\Workgroups\FPC AFT\Critical\Financial &amp; Regulatory Reporting\SOFIA\Tax Queries\Sch60asup2.txt and paste into SOFIA worksheet tab.</t>
  </si>
  <si>
    <t xml:space="preserve"> - Use to update "additions" and "deletions" lines on the schedule</t>
  </si>
  <si>
    <t xml:space="preserve"> - For lines with budgeted inputs, increment by one month.  Compare pro-rated results to approved budget.</t>
  </si>
  <si>
    <t>SOFIA Queries</t>
  </si>
  <si>
    <t>Compare Non-Utility Income Tax Expense to ITBUD.xls</t>
  </si>
  <si>
    <t>Include a copy of Sch 60 and supporting documentation in JV2034.</t>
  </si>
  <si>
    <t>Changes in Statutory Tax Rates</t>
  </si>
  <si>
    <t>- As needed, update statutory tax rates listed in Sch 60.</t>
  </si>
  <si>
    <t>- Monitor accounting literature, news releases, SCS Tax communications and other sources for information regarding changes in federal and state tax rates.</t>
  </si>
  <si>
    <t xml:space="preserve"> - Run reports 51000 and 51011 for both Utility and Non-Utility and update timing differences.</t>
  </si>
  <si>
    <t>SECTION 162 / 274 - LOBBYING</t>
  </si>
  <si>
    <t>41910000</t>
  </si>
  <si>
    <t>CASPR account</t>
  </si>
  <si>
    <t>41140420</t>
  </si>
  <si>
    <t>41140422</t>
  </si>
  <si>
    <t>41900038</t>
  </si>
  <si>
    <t>ITC ADJ-ELEC-AM INV TX FD 10%</t>
  </si>
  <si>
    <t>ITC ADJ,UTIL OPER-ELEC-4%</t>
  </si>
  <si>
    <t>AFUDC-OTHER FUNDS</t>
  </si>
  <si>
    <t>same</t>
  </si>
  <si>
    <t xml:space="preserve"> Incl 41140420 thru 41140420</t>
  </si>
  <si>
    <t xml:space="preserve"> Incl 41140422 thru 41140422</t>
  </si>
  <si>
    <t xml:space="preserve"> Incl 41900038 thru 41900038</t>
  </si>
  <si>
    <t xml:space="preserve"> Incl 41910000 thru 41910000</t>
  </si>
  <si>
    <t xml:space="preserve"> - Separately calculate  Meals &amp; Entertainment disallowance using spreadsheet "Meals Disallowance YYYY.xls" and enter amounts.</t>
  </si>
  <si>
    <t>CONFIDENTIAL</t>
  </si>
  <si>
    <t xml:space="preserve"> COMPANY </t>
  </si>
  <si>
    <t xml:space="preserve"> BWO </t>
  </si>
  <si>
    <t xml:space="preserve"> RRCN </t>
  </si>
  <si>
    <t xml:space="preserve">Company: </t>
  </si>
  <si>
    <t xml:space="preserve">Billing Work Order: </t>
  </si>
  <si>
    <t xml:space="preserve"> Jan 10-May 10 </t>
  </si>
  <si>
    <t xml:space="preserve">Jan 10-Jun 10 </t>
  </si>
  <si>
    <t xml:space="preserve"> - Use Report 51040 and file "PowerPlan JV2034 MMYY.xls" to update deferred tax amounts</t>
  </si>
  <si>
    <t>Holly Carnley; CJ Patrick</t>
  </si>
  <si>
    <t>INT&amp;DIV INC-INT-TAX EXEMPT-FED</t>
  </si>
  <si>
    <t>EMPL P&amp;B-BEN-MEDIC DRUG SUBSDY</t>
  </si>
  <si>
    <t>42630010</t>
  </si>
  <si>
    <t>PENALTIES-EMPLOYMENT</t>
  </si>
  <si>
    <t>FIN 48 RESERVE (Mfg Deduct; R&amp;D Credit; Ga ITC; Repairs)</t>
  </si>
  <si>
    <t>MISCELLANEOUS</t>
  </si>
  <si>
    <t>ELECTRIC INCOME TAX EXPENSE</t>
  </si>
  <si>
    <t>Actual ...Jan 10-Nov 10...</t>
  </si>
  <si>
    <t>December YTD, 2010</t>
  </si>
  <si>
    <t>Actual ...Jan 10-Dec 10...</t>
  </si>
  <si>
    <t>92600403</t>
  </si>
  <si>
    <t>EMPL P&amp;B-BEN-TAXABLE DRUG SUB</t>
  </si>
  <si>
    <t>92600402 + 92600403</t>
  </si>
  <si>
    <t>State</t>
  </si>
  <si>
    <t>Rpt-120</t>
  </si>
  <si>
    <t>Inc Tax - Electric</t>
  </si>
  <si>
    <t>FIN48 PROVISION - 410</t>
  </si>
  <si>
    <t>FIN48 PAYBACK - 411</t>
  </si>
  <si>
    <t>Doug Dangelo; Melissa Matthews</t>
  </si>
  <si>
    <t>Last update on 01/14/2011 by Sharon Jordan</t>
  </si>
  <si>
    <t xml:space="preserve">S:\Workgroups\FPC AFT\Critical\Financial &amp; Regulatory Reporting\SOFIA\Tax Queries-caspr\Sch60sup2 caspr.txt </t>
  </si>
</sst>
</file>

<file path=xl/styles.xml><?xml version="1.0" encoding="utf-8"?>
<styleSheet xmlns="http://schemas.openxmlformats.org/spreadsheetml/2006/main">
  <numFmts count="6">
    <numFmt numFmtId="43" formatCode="_(* #,##0.00_);_(* \(#,##0.00\);_(* &quot;-&quot;??_);_(@_)"/>
    <numFmt numFmtId="164" formatCode="_(* #,##0_);_(* \(#,##0\);_(* &quot;-&quot;??_);_(@_)"/>
    <numFmt numFmtId="165" formatCode="_(* #,##0.000_);_(* \(#,##0.000\);_(* &quot;-&quot;??_);_(@_)"/>
    <numFmt numFmtId="166" formatCode="_(* #,##0.000000_);_(* \(#,##0.000000\);_(* &quot;-&quot;??_);_(@_)"/>
    <numFmt numFmtId="167" formatCode="_(* #,##0.00000000_);_(* \(#,##0.00000000\);_(* &quot;-&quot;??_);_(@_)"/>
    <numFmt numFmtId="168" formatCode="_(* #,##0.000000000_);_(* \(#,##0.000000000\);_(* &quot;-&quot;??_);_(@_)"/>
  </numFmts>
  <fonts count="17">
    <font>
      <sz val="12"/>
      <name val="Times New Roman"/>
    </font>
    <font>
      <sz val="11"/>
      <color theme="1"/>
      <name val="Calibri"/>
      <family val="2"/>
      <scheme val="minor"/>
    </font>
    <font>
      <sz val="12"/>
      <name val="Times New Roman"/>
      <family val="1"/>
    </font>
    <font>
      <sz val="8"/>
      <name val="Times New Roman"/>
      <family val="1"/>
    </font>
    <font>
      <u/>
      <sz val="10.8"/>
      <color indexed="12"/>
      <name val="Times New Roman"/>
      <family val="1"/>
    </font>
    <font>
      <sz val="8"/>
      <color indexed="81"/>
      <name val="Tahoma"/>
      <family val="2"/>
    </font>
    <font>
      <b/>
      <sz val="8"/>
      <color indexed="81"/>
      <name val="Tahoma"/>
      <family val="2"/>
    </font>
    <font>
      <sz val="10"/>
      <name val="Arial"/>
      <family val="2"/>
    </font>
    <font>
      <b/>
      <sz val="10"/>
      <color theme="1"/>
      <name val="Arial"/>
      <family val="2"/>
    </font>
    <font>
      <sz val="10"/>
      <color theme="1"/>
      <name val="Arial"/>
      <family val="2"/>
    </font>
    <font>
      <sz val="12"/>
      <color theme="1"/>
      <name val="Times New Roman"/>
      <family val="1"/>
    </font>
    <font>
      <sz val="10"/>
      <color theme="1"/>
      <name val="Lucida Console"/>
      <family val="3"/>
    </font>
    <font>
      <b/>
      <sz val="12"/>
      <color theme="1"/>
      <name val="Times New Roman"/>
      <family val="1"/>
    </font>
    <font>
      <b/>
      <sz val="10"/>
      <color theme="1"/>
      <name val="Lucida Console"/>
      <family val="3"/>
    </font>
    <font>
      <u/>
      <sz val="10"/>
      <color theme="1"/>
      <name val="Lucida Console"/>
      <family val="3"/>
    </font>
    <font>
      <i/>
      <sz val="12"/>
      <color theme="1"/>
      <name val="Times New Roman"/>
      <family val="1"/>
    </font>
    <font>
      <u/>
      <sz val="10.8"/>
      <color theme="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s>
  <cellStyleXfs count="6">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0" fontId="7" fillId="0" borderId="0"/>
    <xf numFmtId="9" fontId="2" fillId="0" borderId="0" applyFont="0" applyFill="0" applyBorder="0" applyAlignment="0" applyProtection="0"/>
    <xf numFmtId="0" fontId="1" fillId="0" borderId="0"/>
  </cellStyleXfs>
  <cellXfs count="72">
    <xf numFmtId="0" fontId="0" fillId="0" borderId="0" xfId="0"/>
    <xf numFmtId="49" fontId="8" fillId="0" borderId="0" xfId="3" applyNumberFormat="1" applyFont="1" applyFill="1" applyAlignment="1">
      <alignment vertical="top" wrapText="1"/>
    </xf>
    <xf numFmtId="0" fontId="8" fillId="0" borderId="0" xfId="3" applyFont="1" applyFill="1" applyAlignment="1">
      <alignment vertical="top" wrapText="1"/>
    </xf>
    <xf numFmtId="43" fontId="8" fillId="0" borderId="0" xfId="1" applyFont="1" applyFill="1" applyAlignment="1">
      <alignment vertical="top" wrapText="1"/>
    </xf>
    <xf numFmtId="49" fontId="9" fillId="0" borderId="0" xfId="3" applyNumberFormat="1" applyFont="1" applyFill="1"/>
    <xf numFmtId="0" fontId="9" fillId="0" borderId="0" xfId="3" applyFont="1" applyFill="1"/>
    <xf numFmtId="43" fontId="9" fillId="0" borderId="0" xfId="1" applyFont="1" applyFill="1"/>
    <xf numFmtId="10" fontId="9" fillId="0" borderId="0" xfId="4" applyNumberFormat="1" applyFont="1" applyFill="1"/>
    <xf numFmtId="0" fontId="8" fillId="0" borderId="0" xfId="3" applyFont="1" applyFill="1" applyAlignment="1">
      <alignment horizontal="center"/>
    </xf>
    <xf numFmtId="0" fontId="10" fillId="0" borderId="0" xfId="0" applyFont="1" applyFill="1"/>
    <xf numFmtId="49" fontId="10" fillId="0" borderId="0" xfId="0" applyNumberFormat="1" applyFont="1" applyFill="1"/>
    <xf numFmtId="0" fontId="10" fillId="0" borderId="0" xfId="0" applyFont="1" applyFill="1" applyAlignment="1">
      <alignment horizontal="left" wrapText="1"/>
    </xf>
    <xf numFmtId="43" fontId="10" fillId="0" borderId="0" xfId="1" applyFont="1" applyFill="1"/>
    <xf numFmtId="0" fontId="11" fillId="0" borderId="0" xfId="0" applyFont="1" applyFill="1" applyBorder="1" applyAlignment="1">
      <alignment horizontal="centerContinuous"/>
    </xf>
    <xf numFmtId="164" fontId="11" fillId="0" borderId="0" xfId="1" applyNumberFormat="1" applyFont="1" applyFill="1" applyBorder="1" applyAlignment="1">
      <alignment horizontal="centerContinuous"/>
    </xf>
    <xf numFmtId="43" fontId="11" fillId="0" borderId="0" xfId="1" applyFont="1" applyFill="1" applyBorder="1" applyAlignment="1">
      <alignment horizontal="centerContinuous"/>
    </xf>
    <xf numFmtId="0" fontId="11" fillId="0" borderId="0" xfId="0" applyFont="1" applyFill="1"/>
    <xf numFmtId="0" fontId="11" fillId="0" borderId="0" xfId="0" quotePrefix="1" applyFont="1" applyFill="1" applyBorder="1" applyAlignment="1">
      <alignment horizontal="centerContinuous"/>
    </xf>
    <xf numFmtId="0" fontId="11" fillId="0" borderId="0" xfId="0" quotePrefix="1" applyFont="1" applyFill="1" applyAlignment="1">
      <alignment horizontal="left"/>
    </xf>
    <xf numFmtId="0" fontId="11" fillId="0" borderId="0" xfId="0" applyFont="1" applyFill="1" applyBorder="1"/>
    <xf numFmtId="164" fontId="12" fillId="0" borderId="0" xfId="1" applyNumberFormat="1" applyFont="1" applyFill="1" applyBorder="1"/>
    <xf numFmtId="164" fontId="11" fillId="0" borderId="0" xfId="1" applyNumberFormat="1" applyFont="1" applyFill="1" applyBorder="1"/>
    <xf numFmtId="43" fontId="11" fillId="0" borderId="0" xfId="1" applyFont="1" applyFill="1" applyBorder="1"/>
    <xf numFmtId="164" fontId="11" fillId="0" borderId="0" xfId="1" quotePrefix="1" applyNumberFormat="1" applyFont="1" applyFill="1" applyBorder="1" applyAlignment="1">
      <alignment horizontal="center"/>
    </xf>
    <xf numFmtId="43" fontId="11" fillId="0" borderId="0" xfId="1" quotePrefix="1" applyFont="1" applyFill="1" applyBorder="1" applyAlignment="1">
      <alignment horizontal="center"/>
    </xf>
    <xf numFmtId="164" fontId="11" fillId="0" borderId="1" xfId="1" applyNumberFormat="1" applyFont="1" applyFill="1" applyBorder="1" applyAlignment="1">
      <alignment horizontal="center"/>
    </xf>
    <xf numFmtId="43" fontId="11" fillId="0" borderId="1" xfId="1" applyFont="1" applyFill="1" applyBorder="1" applyAlignment="1">
      <alignment horizontal="center"/>
    </xf>
    <xf numFmtId="0" fontId="11" fillId="0" borderId="0" xfId="0" quotePrefix="1" applyFont="1" applyFill="1" applyBorder="1" applyAlignment="1">
      <alignment horizontal="left"/>
    </xf>
    <xf numFmtId="43" fontId="11" fillId="0" borderId="0" xfId="1" quotePrefix="1" applyNumberFormat="1" applyFont="1" applyFill="1" applyAlignment="1">
      <alignment horizontal="left"/>
    </xf>
    <xf numFmtId="43" fontId="11" fillId="0" borderId="0" xfId="0" applyNumberFormat="1" applyFont="1" applyFill="1"/>
    <xf numFmtId="0" fontId="11" fillId="0" borderId="0" xfId="0" applyFont="1" applyFill="1" applyBorder="1" applyAlignment="1">
      <alignment horizontal="left"/>
    </xf>
    <xf numFmtId="43" fontId="11" fillId="0" borderId="1" xfId="1" applyFont="1" applyFill="1" applyBorder="1"/>
    <xf numFmtId="0" fontId="13" fillId="0" borderId="0" xfId="0" quotePrefix="1" applyFont="1" applyFill="1" applyBorder="1" applyAlignment="1">
      <alignment horizontal="left"/>
    </xf>
    <xf numFmtId="0" fontId="13" fillId="0" borderId="0" xfId="0" applyFont="1" applyFill="1" applyBorder="1"/>
    <xf numFmtId="43" fontId="11" fillId="0" borderId="0" xfId="1" applyFont="1" applyFill="1"/>
    <xf numFmtId="43" fontId="11" fillId="0" borderId="0" xfId="1" applyFont="1" applyFill="1" applyAlignment="1">
      <alignment horizontal="center"/>
    </xf>
    <xf numFmtId="43" fontId="11" fillId="0" borderId="0" xfId="0" applyNumberFormat="1" applyFont="1" applyFill="1" applyAlignment="1">
      <alignment horizontal="center"/>
    </xf>
    <xf numFmtId="0" fontId="11" fillId="0" borderId="0" xfId="0" applyFont="1" applyFill="1" applyAlignment="1">
      <alignment horizontal="left"/>
    </xf>
    <xf numFmtId="43" fontId="11" fillId="0" borderId="0" xfId="0" applyNumberFormat="1" applyFont="1" applyFill="1" applyBorder="1"/>
    <xf numFmtId="43" fontId="11" fillId="0" borderId="2" xfId="1" applyFont="1" applyFill="1" applyBorder="1"/>
    <xf numFmtId="49" fontId="11" fillId="0" borderId="0" xfId="0" quotePrefix="1" applyNumberFormat="1" applyFont="1" applyFill="1" applyAlignment="1">
      <alignment horizontal="left"/>
    </xf>
    <xf numFmtId="0" fontId="11" fillId="0" borderId="0" xfId="0" applyFont="1" applyFill="1" applyBorder="1" applyAlignment="1">
      <alignment horizontal="center"/>
    </xf>
    <xf numFmtId="43" fontId="11" fillId="0" borderId="0" xfId="1" applyFont="1" applyFill="1" applyBorder="1" applyAlignment="1">
      <alignment horizontal="center"/>
    </xf>
    <xf numFmtId="43" fontId="11" fillId="0" borderId="0" xfId="1" applyNumberFormat="1" applyFont="1" applyFill="1"/>
    <xf numFmtId="164" fontId="11" fillId="0" borderId="0" xfId="1" applyNumberFormat="1" applyFont="1" applyFill="1"/>
    <xf numFmtId="164" fontId="11" fillId="0" borderId="1" xfId="1" applyNumberFormat="1" applyFont="1" applyFill="1" applyBorder="1"/>
    <xf numFmtId="43" fontId="13" fillId="0" borderId="0" xfId="0" quotePrefix="1" applyNumberFormat="1" applyFont="1" applyFill="1" applyBorder="1" applyAlignment="1">
      <alignment horizontal="left"/>
    </xf>
    <xf numFmtId="166" fontId="11" fillId="0" borderId="1" xfId="1" applyNumberFormat="1" applyFont="1" applyFill="1" applyBorder="1"/>
    <xf numFmtId="165" fontId="11" fillId="0" borderId="1" xfId="1" applyNumberFormat="1" applyFont="1" applyFill="1" applyBorder="1"/>
    <xf numFmtId="168" fontId="11" fillId="0" borderId="1" xfId="1" applyNumberFormat="1" applyFont="1" applyFill="1" applyBorder="1"/>
    <xf numFmtId="0" fontId="11" fillId="0" borderId="1" xfId="0" applyFont="1" applyFill="1" applyBorder="1" applyAlignment="1">
      <alignment horizontal="left"/>
    </xf>
    <xf numFmtId="167" fontId="11" fillId="0" borderId="1" xfId="1" applyNumberFormat="1" applyFont="1" applyFill="1" applyBorder="1"/>
    <xf numFmtId="43" fontId="11" fillId="0" borderId="1" xfId="0" applyNumberFormat="1" applyFont="1" applyFill="1" applyBorder="1"/>
    <xf numFmtId="43" fontId="11" fillId="0" borderId="1" xfId="1" quotePrefix="1" applyFont="1" applyFill="1" applyBorder="1" applyAlignment="1"/>
    <xf numFmtId="0" fontId="11" fillId="0" borderId="1" xfId="0" applyFont="1" applyFill="1" applyBorder="1" applyAlignment="1">
      <alignment horizontal="center"/>
    </xf>
    <xf numFmtId="0" fontId="14" fillId="0" borderId="0" xfId="0" applyFont="1" applyFill="1" applyBorder="1" applyAlignment="1">
      <alignment horizontal="left"/>
    </xf>
    <xf numFmtId="43" fontId="13" fillId="0" borderId="0" xfId="1" applyFont="1" applyFill="1" applyBorder="1"/>
    <xf numFmtId="43" fontId="11" fillId="0" borderId="3" xfId="1" applyFont="1" applyFill="1" applyBorder="1"/>
    <xf numFmtId="43" fontId="11" fillId="0" borderId="4" xfId="1" applyFont="1" applyFill="1" applyBorder="1"/>
    <xf numFmtId="43" fontId="11" fillId="0" borderId="4" xfId="0" applyNumberFormat="1" applyFont="1" applyFill="1" applyBorder="1"/>
    <xf numFmtId="43" fontId="11" fillId="0" borderId="0" xfId="1" quotePrefix="1" applyFont="1" applyFill="1" applyBorder="1" applyAlignment="1">
      <alignment horizontal="left"/>
    </xf>
    <xf numFmtId="10" fontId="13" fillId="0" borderId="0" xfId="4" applyNumberFormat="1" applyFont="1" applyFill="1" applyBorder="1"/>
    <xf numFmtId="166" fontId="11" fillId="0" borderId="0" xfId="1" applyNumberFormat="1" applyFont="1" applyFill="1" applyBorder="1"/>
    <xf numFmtId="164" fontId="11" fillId="0" borderId="0" xfId="1" applyNumberFormat="1" applyFont="1" applyFill="1" applyBorder="1" applyAlignment="1">
      <alignment horizontal="center"/>
    </xf>
    <xf numFmtId="0" fontId="10" fillId="0" borderId="0" xfId="0" applyFont="1" applyAlignment="1">
      <alignment vertical="top" wrapText="1"/>
    </xf>
    <xf numFmtId="0" fontId="10" fillId="0" borderId="0" xfId="0" applyFont="1"/>
    <xf numFmtId="0" fontId="12" fillId="0" borderId="0" xfId="0" applyFont="1" applyAlignment="1">
      <alignment vertical="top" wrapText="1"/>
    </xf>
    <xf numFmtId="0" fontId="10" fillId="0" borderId="0" xfId="0" applyFont="1" applyFill="1" applyAlignment="1">
      <alignment vertical="top" wrapText="1"/>
    </xf>
    <xf numFmtId="0" fontId="15" fillId="0" borderId="0" xfId="0" applyFont="1" applyAlignment="1">
      <alignment vertical="top" wrapText="1"/>
    </xf>
    <xf numFmtId="0" fontId="10" fillId="0" borderId="0" xfId="0" quotePrefix="1" applyFont="1" applyAlignment="1">
      <alignment vertical="top" wrapText="1"/>
    </xf>
    <xf numFmtId="0" fontId="16" fillId="0" borderId="0" xfId="2" applyFont="1" applyAlignment="1" applyProtection="1">
      <alignment vertical="top" wrapText="1"/>
    </xf>
    <xf numFmtId="0" fontId="12" fillId="0" borderId="0" xfId="0" applyFont="1"/>
  </cellXfs>
  <cellStyles count="6">
    <cellStyle name="Comma" xfId="1" builtinId="3"/>
    <cellStyle name="Hyperlink" xfId="2" builtinId="8"/>
    <cellStyle name="Normal" xfId="0" builtinId="0"/>
    <cellStyle name="Normal 2" xfId="5"/>
    <cellStyle name="Normal_XCEL_1" xfId="3"/>
    <cellStyle name="Percent" xfId="4" builtinId="5"/>
  </cellStyles>
  <dxfs count="0"/>
  <tableStyles count="0" defaultTableStyle="TableStyleMedium9" defaultPivotStyle="PivotStyleLight16"/>
  <colors>
    <mruColors>
      <color rgb="FFFF99FF"/>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outhernco.com\shared%20data\Workgroups\FPC%20AFT\Critical\Financial%20&amp;%20Regulatory%20Reporting\Taxes\Income%20Taxes\Income%20Tax%20Actualization\2010\Sch4A-12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uthernco.com\shared%20data\Workgroups\FPC%20AFT\Critical\Financial%20&amp;%20Regulatory%20Reporting\Taxes\Income%20Taxes\Income%20Tax%20Actualization\2010\Sch60A-1220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ch 4A"/>
      <sheetName val="Procedure"/>
      <sheetName val="Dec Audit"/>
      <sheetName val="Dec Audit Amort"/>
      <sheetName val="Nov Audit"/>
      <sheetName val="Nov Audit Amort"/>
      <sheetName val="Oct Audit"/>
      <sheetName val="Oct Audit Amort"/>
      <sheetName val="Sep Audit"/>
      <sheetName val="Sep Audit Amort"/>
      <sheetName val="Aug Audit"/>
      <sheetName val="July Audit"/>
      <sheetName val="July Audit Amort"/>
      <sheetName val="June Audit"/>
      <sheetName val="June Audit Amort."/>
      <sheetName val="May Audit"/>
      <sheetName val="May Audit Amort."/>
    </sheetNames>
    <sheetDataSet>
      <sheetData sheetId="0">
        <row r="41">
          <cell r="D41">
            <v>-17707916.5</v>
          </cell>
        </row>
        <row r="42">
          <cell r="D42">
            <v>4172410.27</v>
          </cell>
        </row>
        <row r="43">
          <cell r="D43">
            <v>167338935.16</v>
          </cell>
        </row>
        <row r="44">
          <cell r="D44">
            <v>21969813.100000001</v>
          </cell>
        </row>
        <row r="45">
          <cell r="D45">
            <v>-86294424.299999997</v>
          </cell>
        </row>
        <row r="46">
          <cell r="D46">
            <v>-17965218.91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ch 60A"/>
      <sheetName val="Procedure"/>
      <sheetName val="Audit"/>
      <sheetName val="Dec2009"/>
      <sheetName val="Nov2009"/>
      <sheetName val="Oct2009"/>
      <sheetName val="Jun2009"/>
    </sheetNames>
    <sheetDataSet>
      <sheetData sheetId="0">
        <row r="128">
          <cell r="F128">
            <v>-2088544.4299999997</v>
          </cell>
        </row>
        <row r="130">
          <cell r="F130">
            <v>26699705.309999999</v>
          </cell>
        </row>
        <row r="131">
          <cell r="F131">
            <v>100570717.51000001</v>
          </cell>
        </row>
        <row r="132">
          <cell r="F132">
            <v>0</v>
          </cell>
        </row>
        <row r="133">
          <cell r="F133">
            <v>5198144.78</v>
          </cell>
        </row>
        <row r="134">
          <cell r="F134">
            <v>171199.51</v>
          </cell>
        </row>
        <row r="135">
          <cell r="F135">
            <v>8096524.0600000005</v>
          </cell>
        </row>
        <row r="136">
          <cell r="F136">
            <v>6519472.79</v>
          </cell>
        </row>
        <row r="137">
          <cell r="F137">
            <v>25765531.990000002</v>
          </cell>
        </row>
        <row r="138">
          <cell r="F138">
            <v>0</v>
          </cell>
        </row>
        <row r="141">
          <cell r="F141">
            <v>-1225036</v>
          </cell>
        </row>
        <row r="142">
          <cell r="F142">
            <v>-36289661.439999998</v>
          </cell>
        </row>
        <row r="143">
          <cell r="F143">
            <v>-991479</v>
          </cell>
        </row>
        <row r="144">
          <cell r="F144">
            <v>-7272877.9699999997</v>
          </cell>
        </row>
        <row r="145">
          <cell r="F145">
            <v>-1783871.36</v>
          </cell>
        </row>
        <row r="146">
          <cell r="F146">
            <v>-14541682.600000001</v>
          </cell>
        </row>
        <row r="147">
          <cell r="F147">
            <v>-5422885.0499999998</v>
          </cell>
        </row>
        <row r="148">
          <cell r="F148">
            <v>-31888676.990000002</v>
          </cell>
        </row>
        <row r="151">
          <cell r="F151">
            <v>10057.640000000001</v>
          </cell>
        </row>
        <row r="152">
          <cell r="F152">
            <v>-13188.76</v>
          </cell>
        </row>
        <row r="153">
          <cell r="F153">
            <v>626.87</v>
          </cell>
        </row>
        <row r="154">
          <cell r="F154">
            <v>-478.04</v>
          </cell>
        </row>
        <row r="157">
          <cell r="F157">
            <v>-11446961.800000001</v>
          </cell>
        </row>
        <row r="158">
          <cell r="F158">
            <v>16276767.800000001</v>
          </cell>
        </row>
        <row r="159">
          <cell r="F159">
            <v>-4829806</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B1:B40"/>
  <sheetViews>
    <sheetView workbookViewId="0">
      <selection activeCell="B9" sqref="B9"/>
    </sheetView>
  </sheetViews>
  <sheetFormatPr defaultRowHeight="15.75"/>
  <cols>
    <col min="1" max="1" width="9" style="65"/>
    <col min="2" max="2" width="75.625" style="65" customWidth="1"/>
    <col min="3" max="16384" width="9" style="65"/>
  </cols>
  <sheetData>
    <row r="1" spans="2:2">
      <c r="B1" s="64" t="s">
        <v>68</v>
      </c>
    </row>
    <row r="2" spans="2:2">
      <c r="B2" s="64" t="s">
        <v>144</v>
      </c>
    </row>
    <row r="3" spans="2:2">
      <c r="B3" s="64" t="s">
        <v>145</v>
      </c>
    </row>
    <row r="4" spans="2:2">
      <c r="B4" s="64"/>
    </row>
    <row r="5" spans="2:2">
      <c r="B5" s="66" t="s">
        <v>146</v>
      </c>
    </row>
    <row r="6" spans="2:2" ht="31.5">
      <c r="B6" s="64" t="s">
        <v>149</v>
      </c>
    </row>
    <row r="7" spans="2:2">
      <c r="B7" s="67"/>
    </row>
    <row r="8" spans="2:2">
      <c r="B8" s="66" t="s">
        <v>151</v>
      </c>
    </row>
    <row r="9" spans="2:2">
      <c r="B9" s="64" t="s">
        <v>147</v>
      </c>
    </row>
    <row r="10" spans="2:2">
      <c r="B10" s="64" t="s">
        <v>148</v>
      </c>
    </row>
    <row r="12" spans="2:2">
      <c r="B12" s="66" t="s">
        <v>158</v>
      </c>
    </row>
    <row r="13" spans="2:2">
      <c r="B13" s="68" t="s">
        <v>162</v>
      </c>
    </row>
    <row r="14" spans="2:2" ht="31.5">
      <c r="B14" s="69" t="s">
        <v>159</v>
      </c>
    </row>
    <row r="15" spans="2:2">
      <c r="B15" s="64" t="s">
        <v>160</v>
      </c>
    </row>
    <row r="16" spans="2:2" ht="31.5">
      <c r="B16" s="64" t="s">
        <v>183</v>
      </c>
    </row>
    <row r="17" spans="2:2">
      <c r="B17" s="70"/>
    </row>
    <row r="18" spans="2:2">
      <c r="B18" s="68" t="s">
        <v>150</v>
      </c>
    </row>
    <row r="19" spans="2:2" ht="31.5">
      <c r="B19" s="64" t="s">
        <v>161</v>
      </c>
    </row>
    <row r="21" spans="2:2">
      <c r="B21" s="68" t="s">
        <v>157</v>
      </c>
    </row>
    <row r="22" spans="2:2">
      <c r="B22" s="69" t="s">
        <v>168</v>
      </c>
    </row>
    <row r="23" spans="2:2">
      <c r="B23" s="69" t="s">
        <v>192</v>
      </c>
    </row>
    <row r="24" spans="2:2">
      <c r="B24" s="64"/>
    </row>
    <row r="25" spans="2:2">
      <c r="B25" s="66" t="s">
        <v>165</v>
      </c>
    </row>
    <row r="26" spans="2:2" ht="31.5">
      <c r="B26" s="69" t="s">
        <v>167</v>
      </c>
    </row>
    <row r="27" spans="2:2">
      <c r="B27" s="69" t="s">
        <v>166</v>
      </c>
    </row>
    <row r="28" spans="2:2">
      <c r="B28" s="64"/>
    </row>
    <row r="29" spans="2:2">
      <c r="B29" s="71" t="s">
        <v>153</v>
      </c>
    </row>
    <row r="30" spans="2:2">
      <c r="B30" s="65" t="s">
        <v>155</v>
      </c>
    </row>
    <row r="31" spans="2:2">
      <c r="B31" s="65" t="s">
        <v>156</v>
      </c>
    </row>
    <row r="32" spans="2:2">
      <c r="B32" s="65" t="s">
        <v>163</v>
      </c>
    </row>
    <row r="34" spans="2:2">
      <c r="B34" s="71" t="s">
        <v>152</v>
      </c>
    </row>
    <row r="35" spans="2:2">
      <c r="B35" s="65" t="s">
        <v>212</v>
      </c>
    </row>
    <row r="36" spans="2:2">
      <c r="B36" s="65" t="s">
        <v>193</v>
      </c>
    </row>
    <row r="37" spans="2:2">
      <c r="B37" s="65" t="s">
        <v>154</v>
      </c>
    </row>
    <row r="38" spans="2:2">
      <c r="B38" s="65" t="s">
        <v>164</v>
      </c>
    </row>
    <row r="40" spans="2:2">
      <c r="B40" s="65" t="s">
        <v>213</v>
      </c>
    </row>
  </sheetData>
  <phoneticPr fontId="3" type="noConversion"/>
  <pageMargins left="1" right="0.75" top="0.75"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3">
    <pageSetUpPr fitToPage="1"/>
  </sheetPr>
  <dimension ref="A1:AI97"/>
  <sheetViews>
    <sheetView tabSelected="1" zoomScaleNormal="100" zoomScaleSheetLayoutView="90" workbookViewId="0">
      <pane xSplit="1" ySplit="7" topLeftCell="B8" activePane="bottomRight" state="frozen"/>
      <selection pane="topRight" activeCell="B1" sqref="B1"/>
      <selection pane="bottomLeft" activeCell="A8" sqref="A8"/>
      <selection pane="bottomRight" activeCell="B8" sqref="B8"/>
    </sheetView>
  </sheetViews>
  <sheetFormatPr defaultRowHeight="12.75"/>
  <cols>
    <col min="1" max="1" width="43.25" style="16" customWidth="1"/>
    <col min="2" max="2" width="18.5" style="44" customWidth="1"/>
    <col min="3" max="3" width="17.75" style="44" customWidth="1"/>
    <col min="4" max="4" width="19.75" style="44" customWidth="1"/>
    <col min="5" max="5" width="20.625" style="44" customWidth="1"/>
    <col min="6" max="6" width="18.75" style="22" customWidth="1"/>
    <col min="7" max="7" width="7.875" style="22" bestFit="1" customWidth="1"/>
    <col min="8" max="9" width="19.25" style="16" customWidth="1"/>
    <col min="10" max="10" width="22.125" style="16" customWidth="1"/>
    <col min="11" max="11" width="16" style="16" customWidth="1"/>
    <col min="12" max="12" width="40.5" style="16" customWidth="1"/>
    <col min="13" max="13" width="16.125" style="34" customWidth="1"/>
    <col min="14" max="14" width="17.25" style="34" customWidth="1"/>
    <col min="15" max="15" width="15.75" style="34" customWidth="1"/>
    <col min="16" max="16" width="13.875" style="34" bestFit="1" customWidth="1"/>
    <col min="17" max="17" width="18.25" style="34" customWidth="1"/>
    <col min="18" max="18" width="18" style="16" customWidth="1"/>
    <col min="19" max="19" width="14.75" style="16" bestFit="1" customWidth="1"/>
    <col min="20" max="20" width="12.125" style="16" bestFit="1" customWidth="1"/>
    <col min="21" max="21" width="11.125" style="16" customWidth="1"/>
    <col min="22" max="22" width="12.875" style="16" customWidth="1"/>
    <col min="23" max="26" width="9" style="16"/>
    <col min="27" max="27" width="34.875" style="16" customWidth="1"/>
    <col min="28" max="32" width="18.625" style="16" customWidth="1"/>
    <col min="33" max="33" width="15.875" style="16" customWidth="1"/>
    <col min="34" max="34" width="9" style="16"/>
    <col min="35" max="35" width="16.125" style="16" bestFit="1" customWidth="1"/>
    <col min="36" max="16384" width="9" style="16"/>
  </cols>
  <sheetData>
    <row r="1" spans="1:35">
      <c r="A1" s="13" t="s">
        <v>32</v>
      </c>
      <c r="B1" s="14"/>
      <c r="C1" s="14"/>
      <c r="D1" s="14"/>
      <c r="E1" s="14"/>
      <c r="F1" s="15"/>
      <c r="G1" s="15"/>
      <c r="L1" s="13" t="s">
        <v>32</v>
      </c>
      <c r="M1" s="15"/>
      <c r="N1" s="15"/>
      <c r="O1" s="15"/>
      <c r="P1" s="15"/>
      <c r="Q1" s="15"/>
      <c r="AA1" s="13" t="s">
        <v>32</v>
      </c>
      <c r="AB1" s="14"/>
      <c r="AC1" s="14"/>
      <c r="AD1" s="14"/>
      <c r="AE1" s="14"/>
      <c r="AF1" s="15"/>
    </row>
    <row r="2" spans="1:35">
      <c r="A2" s="13" t="s">
        <v>33</v>
      </c>
      <c r="B2" s="14"/>
      <c r="C2" s="14"/>
      <c r="D2" s="14"/>
      <c r="E2" s="14"/>
      <c r="F2" s="15"/>
      <c r="G2" s="15"/>
      <c r="L2" s="13" t="s">
        <v>65</v>
      </c>
      <c r="M2" s="15"/>
      <c r="N2" s="15"/>
      <c r="O2" s="15"/>
      <c r="P2" s="15"/>
      <c r="Q2" s="15"/>
      <c r="AA2" s="13" t="s">
        <v>200</v>
      </c>
      <c r="AB2" s="14"/>
      <c r="AC2" s="14"/>
      <c r="AD2" s="14"/>
      <c r="AE2" s="14"/>
      <c r="AF2" s="15"/>
    </row>
    <row r="3" spans="1:35">
      <c r="A3" s="13" t="s">
        <v>202</v>
      </c>
      <c r="B3" s="14"/>
      <c r="C3" s="14"/>
      <c r="D3" s="14"/>
      <c r="E3" s="14"/>
      <c r="F3" s="15"/>
      <c r="G3" s="15"/>
      <c r="L3" s="13" t="str">
        <f>+A3</f>
        <v>December YTD, 2010</v>
      </c>
      <c r="M3" s="15"/>
      <c r="N3" s="15"/>
      <c r="O3" s="15"/>
      <c r="P3" s="15"/>
      <c r="Q3" s="15"/>
      <c r="AA3" s="13" t="str">
        <f>+A3</f>
        <v>December YTD, 2010</v>
      </c>
      <c r="AB3" s="14"/>
      <c r="AC3" s="14"/>
      <c r="AD3" s="14"/>
      <c r="AE3" s="14"/>
      <c r="AF3" s="15"/>
    </row>
    <row r="4" spans="1:35">
      <c r="A4" s="17" t="s">
        <v>34</v>
      </c>
      <c r="B4" s="14"/>
      <c r="C4" s="14"/>
      <c r="D4" s="14"/>
      <c r="E4" s="14"/>
      <c r="F4" s="15"/>
      <c r="G4" s="15"/>
      <c r="H4" s="18"/>
      <c r="L4" s="17" t="s">
        <v>34</v>
      </c>
      <c r="M4" s="15"/>
      <c r="N4" s="15"/>
      <c r="O4" s="15"/>
      <c r="P4" s="15"/>
      <c r="Q4" s="15"/>
      <c r="R4" s="18"/>
      <c r="AA4" s="17" t="s">
        <v>34</v>
      </c>
      <c r="AB4" s="14"/>
      <c r="AC4" s="14"/>
      <c r="AD4" s="14"/>
      <c r="AE4" s="14"/>
      <c r="AF4" s="15"/>
    </row>
    <row r="5" spans="1:35" ht="15.75">
      <c r="A5" s="19" t="s">
        <v>184</v>
      </c>
      <c r="B5" s="20"/>
      <c r="C5" s="21"/>
      <c r="D5" s="21"/>
      <c r="E5" s="21"/>
      <c r="L5" s="19" t="s">
        <v>184</v>
      </c>
      <c r="M5" s="20">
        <f>+B5</f>
        <v>0</v>
      </c>
      <c r="N5" s="22"/>
      <c r="O5" s="22"/>
      <c r="P5" s="22"/>
      <c r="Q5" s="22"/>
      <c r="AA5" s="19" t="s">
        <v>184</v>
      </c>
      <c r="AB5" s="21"/>
      <c r="AC5" s="21"/>
      <c r="AD5" s="21"/>
      <c r="AE5" s="21"/>
      <c r="AF5" s="22"/>
    </row>
    <row r="6" spans="1:35">
      <c r="A6" s="19"/>
      <c r="B6" s="21"/>
      <c r="C6" s="21"/>
      <c r="D6" s="21"/>
      <c r="E6" s="23" t="s">
        <v>43</v>
      </c>
      <c r="H6" s="18"/>
      <c r="L6" s="19"/>
      <c r="M6" s="22"/>
      <c r="N6" s="22"/>
      <c r="O6" s="22"/>
      <c r="P6" s="24" t="s">
        <v>43</v>
      </c>
      <c r="Q6" s="22"/>
      <c r="R6" s="18"/>
      <c r="AA6" s="19"/>
      <c r="AB6" s="21"/>
      <c r="AC6" s="21"/>
      <c r="AD6" s="21"/>
      <c r="AE6" s="23" t="s">
        <v>43</v>
      </c>
      <c r="AF6" s="22"/>
    </row>
    <row r="7" spans="1:35">
      <c r="A7" s="19"/>
      <c r="B7" s="25" t="s">
        <v>10</v>
      </c>
      <c r="C7" s="25" t="s">
        <v>11</v>
      </c>
      <c r="D7" s="25" t="s">
        <v>12</v>
      </c>
      <c r="E7" s="25" t="s">
        <v>35</v>
      </c>
      <c r="F7" s="26" t="s">
        <v>13</v>
      </c>
      <c r="L7" s="19"/>
      <c r="M7" s="26" t="s">
        <v>10</v>
      </c>
      <c r="N7" s="26" t="s">
        <v>11</v>
      </c>
      <c r="O7" s="26" t="s">
        <v>12</v>
      </c>
      <c r="P7" s="26" t="s">
        <v>35</v>
      </c>
      <c r="Q7" s="26" t="s">
        <v>13</v>
      </c>
      <c r="AA7" s="19"/>
      <c r="AB7" s="25" t="s">
        <v>10</v>
      </c>
      <c r="AC7" s="25" t="s">
        <v>11</v>
      </c>
      <c r="AD7" s="25" t="s">
        <v>12</v>
      </c>
      <c r="AE7" s="25" t="s">
        <v>35</v>
      </c>
      <c r="AF7" s="26" t="s">
        <v>13</v>
      </c>
    </row>
    <row r="8" spans="1:35">
      <c r="A8" s="27" t="s">
        <v>49</v>
      </c>
      <c r="B8" s="22">
        <f>+F8</f>
        <v>201780221.12</v>
      </c>
      <c r="C8" s="22">
        <f>+F8</f>
        <v>201780221.12</v>
      </c>
      <c r="D8" s="22">
        <f>+B8</f>
        <v>201780221.12</v>
      </c>
      <c r="E8" s="21"/>
      <c r="F8" s="22">
        <f>201851830.78-71609.66</f>
        <v>201780221.12</v>
      </c>
      <c r="H8" s="28" t="s">
        <v>57</v>
      </c>
      <c r="I8" s="29"/>
      <c r="J8" s="29"/>
      <c r="L8" s="27" t="s">
        <v>49</v>
      </c>
      <c r="M8" s="22">
        <f>+Q8</f>
        <v>4317712.4800000004</v>
      </c>
      <c r="N8" s="22">
        <f>+Q8</f>
        <v>4317712.4800000004</v>
      </c>
      <c r="O8" s="22">
        <f>+M8</f>
        <v>4317712.4800000004</v>
      </c>
      <c r="P8" s="22"/>
      <c r="Q8" s="22">
        <v>4317712.4800000004</v>
      </c>
      <c r="R8" s="28" t="s">
        <v>57</v>
      </c>
      <c r="AA8" s="27" t="s">
        <v>49</v>
      </c>
      <c r="AB8" s="22">
        <f>+AF8</f>
        <v>197462508.64000002</v>
      </c>
      <c r="AC8" s="22">
        <f>+AF8</f>
        <v>197462508.64000002</v>
      </c>
      <c r="AD8" s="22">
        <f>+AB8</f>
        <v>197462508.64000002</v>
      </c>
      <c r="AE8" s="21"/>
      <c r="AF8" s="22">
        <f>+F8-Q8</f>
        <v>197462508.64000002</v>
      </c>
    </row>
    <row r="9" spans="1:35">
      <c r="A9" s="30" t="s">
        <v>64</v>
      </c>
      <c r="B9" s="31">
        <f>+F9</f>
        <v>-2553129.0299999998</v>
      </c>
      <c r="C9" s="31">
        <f>+F9</f>
        <v>-2553129.0299999998</v>
      </c>
      <c r="D9" s="31">
        <f>+B9</f>
        <v>-2553129.0299999998</v>
      </c>
      <c r="E9" s="21"/>
      <c r="F9" s="31">
        <v>-2553129.0299999998</v>
      </c>
      <c r="H9" s="28"/>
      <c r="I9" s="29"/>
      <c r="J9" s="29"/>
      <c r="L9" s="30" t="s">
        <v>64</v>
      </c>
      <c r="M9" s="31">
        <f>+Q9</f>
        <v>0</v>
      </c>
      <c r="N9" s="31">
        <f>+Q9</f>
        <v>0</v>
      </c>
      <c r="O9" s="31">
        <f>+M9</f>
        <v>0</v>
      </c>
      <c r="P9" s="22"/>
      <c r="Q9" s="31">
        <v>0</v>
      </c>
      <c r="R9" s="28"/>
      <c r="AA9" s="30" t="s">
        <v>64</v>
      </c>
      <c r="AB9" s="31">
        <f>+AF9</f>
        <v>-2553129.0299999998</v>
      </c>
      <c r="AC9" s="31">
        <f>+AF9</f>
        <v>-2553129.0299999998</v>
      </c>
      <c r="AD9" s="31">
        <f>+AB9</f>
        <v>-2553129.0299999998</v>
      </c>
      <c r="AE9" s="21"/>
      <c r="AF9" s="31">
        <f>+F9-Q9</f>
        <v>-2553129.0299999998</v>
      </c>
    </row>
    <row r="10" spans="1:35">
      <c r="A10" s="32" t="s">
        <v>49</v>
      </c>
      <c r="B10" s="22">
        <f>+B8+B9</f>
        <v>199227092.09</v>
      </c>
      <c r="C10" s="22">
        <f>+C8+C9</f>
        <v>199227092.09</v>
      </c>
      <c r="D10" s="22">
        <f>+D8+D9</f>
        <v>199227092.09</v>
      </c>
      <c r="E10" s="21"/>
      <c r="F10" s="22">
        <f>+F8+F9</f>
        <v>199227092.09</v>
      </c>
      <c r="H10" s="28"/>
      <c r="I10" s="29"/>
      <c r="J10" s="29"/>
      <c r="L10" s="32" t="s">
        <v>49</v>
      </c>
      <c r="M10" s="22">
        <f>+M8+M9</f>
        <v>4317712.4800000004</v>
      </c>
      <c r="N10" s="22">
        <f>+N8+N9</f>
        <v>4317712.4800000004</v>
      </c>
      <c r="O10" s="22">
        <f>+O8+O9</f>
        <v>4317712.4800000004</v>
      </c>
      <c r="P10" s="22"/>
      <c r="Q10" s="22">
        <f>+Q8+Q9</f>
        <v>4317712.4800000004</v>
      </c>
      <c r="R10" s="28"/>
      <c r="AA10" s="32" t="s">
        <v>49</v>
      </c>
      <c r="AB10" s="22">
        <f>+AB8+AB9</f>
        <v>194909379.61000001</v>
      </c>
      <c r="AC10" s="22">
        <f>+AC8+AC9</f>
        <v>194909379.61000001</v>
      </c>
      <c r="AD10" s="22">
        <f>+AD8+AD9</f>
        <v>194909379.61000001</v>
      </c>
      <c r="AE10" s="21"/>
      <c r="AF10" s="22">
        <f>+AF8+AF9</f>
        <v>194909379.61000001</v>
      </c>
    </row>
    <row r="11" spans="1:35">
      <c r="A11" s="27"/>
      <c r="B11" s="22"/>
      <c r="C11" s="22"/>
      <c r="D11" s="22"/>
      <c r="E11" s="21"/>
      <c r="H11" s="28"/>
      <c r="I11" s="29"/>
      <c r="J11" s="29"/>
      <c r="L11" s="27"/>
      <c r="M11" s="22"/>
      <c r="N11" s="22"/>
      <c r="O11" s="22"/>
      <c r="P11" s="22"/>
      <c r="Q11" s="22"/>
      <c r="R11" s="28"/>
      <c r="AA11" s="27"/>
      <c r="AB11" s="22"/>
      <c r="AC11" s="22"/>
      <c r="AD11" s="22"/>
      <c r="AE11" s="21"/>
      <c r="AF11" s="22"/>
    </row>
    <row r="12" spans="1:35">
      <c r="A12" s="33" t="s">
        <v>14</v>
      </c>
      <c r="B12" s="22"/>
      <c r="C12" s="21"/>
      <c r="D12" s="21"/>
      <c r="E12" s="21"/>
      <c r="H12" s="34"/>
      <c r="I12" s="34"/>
      <c r="J12" s="29"/>
      <c r="K12" s="29"/>
      <c r="L12" s="33" t="s">
        <v>14</v>
      </c>
      <c r="M12" s="22"/>
      <c r="N12" s="22"/>
      <c r="O12" s="22"/>
      <c r="P12" s="22"/>
      <c r="Q12" s="22"/>
      <c r="AA12" s="33" t="s">
        <v>14</v>
      </c>
      <c r="AB12" s="22"/>
      <c r="AC12" s="21"/>
      <c r="AD12" s="21"/>
      <c r="AE12" s="21"/>
      <c r="AF12" s="22"/>
    </row>
    <row r="13" spans="1:35">
      <c r="A13" s="19" t="s">
        <v>15</v>
      </c>
      <c r="B13" s="21"/>
      <c r="C13" s="21"/>
      <c r="D13" s="21"/>
      <c r="E13" s="21"/>
      <c r="H13" s="29"/>
      <c r="I13" s="35" t="s">
        <v>58</v>
      </c>
      <c r="J13" s="36" t="s">
        <v>207</v>
      </c>
      <c r="L13" s="19" t="s">
        <v>15</v>
      </c>
      <c r="M13" s="22"/>
      <c r="N13" s="22"/>
      <c r="O13" s="22"/>
      <c r="P13" s="22"/>
      <c r="Q13" s="22"/>
      <c r="R13" s="29"/>
      <c r="AA13" s="19" t="s">
        <v>15</v>
      </c>
      <c r="AB13" s="21"/>
      <c r="AC13" s="21"/>
      <c r="AD13" s="21"/>
      <c r="AE13" s="21"/>
      <c r="AF13" s="22"/>
    </row>
    <row r="14" spans="1:35">
      <c r="A14" s="19" t="s">
        <v>16</v>
      </c>
      <c r="B14" s="22">
        <f>+F14</f>
        <v>1956327.2</v>
      </c>
      <c r="C14" s="22">
        <f>+F14</f>
        <v>1956327.2</v>
      </c>
      <c r="D14" s="22">
        <f>+F14</f>
        <v>1956327.2</v>
      </c>
      <c r="E14" s="22"/>
      <c r="F14" s="22">
        <f>+((9554.9+1946772.3)/12*12)</f>
        <v>1956327.2</v>
      </c>
      <c r="H14" s="18" t="s">
        <v>4</v>
      </c>
      <c r="I14" s="22">
        <v>9554.9</v>
      </c>
      <c r="J14" s="22">
        <v>10947.12</v>
      </c>
      <c r="K14" s="19"/>
      <c r="L14" s="19" t="s">
        <v>16</v>
      </c>
      <c r="M14" s="22">
        <f>+Q14</f>
        <v>0</v>
      </c>
      <c r="N14" s="22">
        <f>+Q14</f>
        <v>0</v>
      </c>
      <c r="O14" s="22">
        <f>+Q14</f>
        <v>0</v>
      </c>
      <c r="P14" s="22"/>
      <c r="Q14" s="22">
        <v>0</v>
      </c>
      <c r="R14" s="18" t="s">
        <v>4</v>
      </c>
      <c r="AA14" s="19" t="s">
        <v>16</v>
      </c>
      <c r="AB14" s="22">
        <f>+AF14</f>
        <v>1956327.2</v>
      </c>
      <c r="AC14" s="22">
        <f>+AF14</f>
        <v>1956327.2</v>
      </c>
      <c r="AD14" s="22">
        <f>+AF14</f>
        <v>1956327.2</v>
      </c>
      <c r="AE14" s="22"/>
      <c r="AF14" s="22">
        <f t="shared" ref="AF14:AF19" si="0">+F14-Q14</f>
        <v>1956327.2</v>
      </c>
      <c r="AG14" s="18" t="s">
        <v>4</v>
      </c>
      <c r="AI14" s="34">
        <v>33870.720000000001</v>
      </c>
    </row>
    <row r="15" spans="1:35">
      <c r="A15" s="27" t="s">
        <v>1</v>
      </c>
      <c r="B15" s="22">
        <f>+((10947.12+1924870.77)-(9554.9+1946772.3))/12*12</f>
        <v>-20509.309999999823</v>
      </c>
      <c r="C15" s="22">
        <f>+B15</f>
        <v>-20509.309999999823</v>
      </c>
      <c r="D15" s="22">
        <f>+B15</f>
        <v>-20509.309999999823</v>
      </c>
      <c r="E15" s="22"/>
      <c r="F15" s="22">
        <v>0</v>
      </c>
      <c r="H15" s="37" t="s">
        <v>208</v>
      </c>
      <c r="I15" s="22">
        <v>1946772.3</v>
      </c>
      <c r="J15" s="22">
        <v>1924870.77</v>
      </c>
      <c r="K15" s="19"/>
      <c r="L15" s="27" t="s">
        <v>1</v>
      </c>
      <c r="M15" s="22">
        <v>0</v>
      </c>
      <c r="N15" s="22">
        <f>+M15</f>
        <v>0</v>
      </c>
      <c r="O15" s="22">
        <f>+M15</f>
        <v>0</v>
      </c>
      <c r="P15" s="22"/>
      <c r="Q15" s="22">
        <v>0</v>
      </c>
      <c r="R15" s="18"/>
      <c r="AA15" s="27" t="s">
        <v>1</v>
      </c>
      <c r="AB15" s="22">
        <f>+B15</f>
        <v>-20509.309999999823</v>
      </c>
      <c r="AC15" s="22">
        <f>+AB15</f>
        <v>-20509.309999999823</v>
      </c>
      <c r="AD15" s="22">
        <f>+AB15</f>
        <v>-20509.309999999823</v>
      </c>
      <c r="AE15" s="22"/>
      <c r="AF15" s="22">
        <f t="shared" si="0"/>
        <v>0</v>
      </c>
      <c r="AG15" s="18"/>
      <c r="AI15" s="34">
        <v>9554.9</v>
      </c>
    </row>
    <row r="16" spans="1:35">
      <c r="A16" s="19" t="s">
        <v>17</v>
      </c>
      <c r="B16" s="22">
        <f>+F16</f>
        <v>258617.4</v>
      </c>
      <c r="C16" s="22">
        <f>+F16</f>
        <v>258617.4</v>
      </c>
      <c r="D16" s="22">
        <f>+F16</f>
        <v>258617.4</v>
      </c>
      <c r="E16" s="21"/>
      <c r="F16" s="22">
        <v>258617.4</v>
      </c>
      <c r="H16" s="16" t="s">
        <v>5</v>
      </c>
      <c r="I16" s="38"/>
      <c r="J16" s="22">
        <f>+J14+J15-I14-I15</f>
        <v>-20509.309999999823</v>
      </c>
      <c r="K16" s="19"/>
      <c r="L16" s="19" t="s">
        <v>17</v>
      </c>
      <c r="M16" s="22">
        <f>+Q16</f>
        <v>4100.75</v>
      </c>
      <c r="N16" s="22">
        <f>+Q16</f>
        <v>4100.75</v>
      </c>
      <c r="O16" s="22">
        <f>+Q16</f>
        <v>4100.75</v>
      </c>
      <c r="P16" s="22"/>
      <c r="Q16" s="22">
        <v>4100.75</v>
      </c>
      <c r="R16" s="16" t="s">
        <v>5</v>
      </c>
      <c r="AA16" s="19" t="s">
        <v>17</v>
      </c>
      <c r="AB16" s="22">
        <f>+AF16</f>
        <v>254516.65</v>
      </c>
      <c r="AC16" s="22">
        <f>+AF16</f>
        <v>254516.65</v>
      </c>
      <c r="AD16" s="22">
        <f>+AF16</f>
        <v>254516.65</v>
      </c>
      <c r="AE16" s="21"/>
      <c r="AF16" s="22">
        <f t="shared" si="0"/>
        <v>254516.65</v>
      </c>
      <c r="AG16" s="16" t="s">
        <v>5</v>
      </c>
      <c r="AI16" s="34">
        <v>-5350041.1500000004</v>
      </c>
    </row>
    <row r="17" spans="1:35">
      <c r="A17" s="27" t="s">
        <v>78</v>
      </c>
      <c r="B17" s="22">
        <f>+F17</f>
        <v>72000</v>
      </c>
      <c r="C17" s="22">
        <f>+F17</f>
        <v>72000</v>
      </c>
      <c r="D17" s="22">
        <f>+F17</f>
        <v>72000</v>
      </c>
      <c r="E17" s="21"/>
      <c r="F17" s="22">
        <f>(72000/12)*12</f>
        <v>72000</v>
      </c>
      <c r="H17" s="18" t="s">
        <v>79</v>
      </c>
      <c r="I17" s="19"/>
      <c r="J17" s="19"/>
      <c r="K17" s="38"/>
      <c r="L17" s="19" t="str">
        <f>+A17</f>
        <v>SYSTEM AIRCRAFT AND CLUB DUES</v>
      </c>
      <c r="M17" s="22">
        <f>+Q17</f>
        <v>0</v>
      </c>
      <c r="N17" s="22">
        <f>+Q17</f>
        <v>0</v>
      </c>
      <c r="O17" s="22">
        <f>+Q17</f>
        <v>0</v>
      </c>
      <c r="P17" s="22"/>
      <c r="Q17" s="22">
        <v>0</v>
      </c>
      <c r="R17" s="16" t="s">
        <v>3</v>
      </c>
      <c r="AA17" s="27" t="s">
        <v>78</v>
      </c>
      <c r="AB17" s="22">
        <f>+AF17</f>
        <v>72000</v>
      </c>
      <c r="AC17" s="22">
        <f>+AF17</f>
        <v>72000</v>
      </c>
      <c r="AD17" s="22">
        <f>+AF17</f>
        <v>72000</v>
      </c>
      <c r="AE17" s="21"/>
      <c r="AF17" s="22">
        <f t="shared" si="0"/>
        <v>72000</v>
      </c>
      <c r="AG17" s="16" t="s">
        <v>3</v>
      </c>
      <c r="AI17" s="34">
        <v>50126.73</v>
      </c>
    </row>
    <row r="18" spans="1:35">
      <c r="A18" s="19" t="s">
        <v>50</v>
      </c>
      <c r="B18" s="22">
        <f>+F18</f>
        <v>126152.5</v>
      </c>
      <c r="C18" s="22">
        <f>+F18</f>
        <v>126152.5</v>
      </c>
      <c r="D18" s="22">
        <f>+F18</f>
        <v>126152.5</v>
      </c>
      <c r="E18" s="21"/>
      <c r="F18" s="22">
        <v>126152.5</v>
      </c>
      <c r="H18" s="16" t="s">
        <v>0</v>
      </c>
      <c r="I18" s="38">
        <f>SUM(SOFIA!C9)</f>
        <v>126152.5</v>
      </c>
      <c r="J18" s="38"/>
      <c r="K18" s="19"/>
      <c r="L18" s="19" t="s">
        <v>50</v>
      </c>
      <c r="M18" s="22">
        <f>+Q18</f>
        <v>126152.5</v>
      </c>
      <c r="N18" s="22">
        <f>+Q18</f>
        <v>126152.5</v>
      </c>
      <c r="O18" s="22">
        <f>+Q18</f>
        <v>126152.5</v>
      </c>
      <c r="P18" s="22"/>
      <c r="Q18" s="22">
        <f>+F18</f>
        <v>126152.5</v>
      </c>
      <c r="R18" s="16" t="s">
        <v>0</v>
      </c>
      <c r="AA18" s="19" t="s">
        <v>50</v>
      </c>
      <c r="AB18" s="22">
        <f>+AF18</f>
        <v>0</v>
      </c>
      <c r="AC18" s="22">
        <f>+AF18</f>
        <v>0</v>
      </c>
      <c r="AD18" s="22">
        <f>+AF18</f>
        <v>0</v>
      </c>
      <c r="AE18" s="21"/>
      <c r="AF18" s="22">
        <f t="shared" si="0"/>
        <v>0</v>
      </c>
      <c r="AG18" s="16" t="s">
        <v>0</v>
      </c>
      <c r="AI18" s="34">
        <v>7212816.3499999996</v>
      </c>
    </row>
    <row r="19" spans="1:35">
      <c r="A19" s="19" t="s">
        <v>169</v>
      </c>
      <c r="B19" s="31">
        <f>+F19</f>
        <v>710700</v>
      </c>
      <c r="C19" s="31">
        <f>+F19</f>
        <v>710700</v>
      </c>
      <c r="D19" s="31">
        <f>+F19</f>
        <v>710700</v>
      </c>
      <c r="E19" s="21"/>
      <c r="F19" s="31">
        <f>(710700/12)*12</f>
        <v>710700</v>
      </c>
      <c r="H19" s="16" t="s">
        <v>3</v>
      </c>
      <c r="I19" s="19"/>
      <c r="J19" s="19"/>
      <c r="K19" s="19"/>
      <c r="L19" s="19" t="s">
        <v>18</v>
      </c>
      <c r="M19" s="31">
        <f>+Q19</f>
        <v>710700</v>
      </c>
      <c r="N19" s="31">
        <f>+Q19</f>
        <v>710700</v>
      </c>
      <c r="O19" s="31">
        <f>+Q19</f>
        <v>710700</v>
      </c>
      <c r="P19" s="22"/>
      <c r="Q19" s="31">
        <f>+F19</f>
        <v>710700</v>
      </c>
      <c r="R19" s="16" t="s">
        <v>3</v>
      </c>
      <c r="AA19" s="19" t="s">
        <v>169</v>
      </c>
      <c r="AB19" s="31">
        <f>+AF19</f>
        <v>0</v>
      </c>
      <c r="AC19" s="31">
        <f>+AF19</f>
        <v>0</v>
      </c>
      <c r="AD19" s="31">
        <f>+AF19</f>
        <v>0</v>
      </c>
      <c r="AE19" s="21"/>
      <c r="AF19" s="31">
        <f t="shared" si="0"/>
        <v>0</v>
      </c>
      <c r="AG19" s="16" t="s">
        <v>3</v>
      </c>
      <c r="AI19" s="39">
        <f>SUM(AI14:AI18)</f>
        <v>1956327.5499999998</v>
      </c>
    </row>
    <row r="20" spans="1:35">
      <c r="A20" s="19" t="s">
        <v>19</v>
      </c>
      <c r="B20" s="22">
        <f>SUM(B14:B19)</f>
        <v>3103287.79</v>
      </c>
      <c r="C20" s="22">
        <f>SUM(C14:C19)</f>
        <v>3103287.79</v>
      </c>
      <c r="D20" s="22">
        <f>SUM(D14:D19)</f>
        <v>3103287.79</v>
      </c>
      <c r="E20" s="21"/>
      <c r="F20" s="22">
        <f>SUM(F13:F19)</f>
        <v>3123797.1</v>
      </c>
      <c r="H20" s="29">
        <f>+F20+F28</f>
        <v>-6636496.9000000004</v>
      </c>
      <c r="I20" s="19"/>
      <c r="J20" s="19"/>
      <c r="K20" s="19"/>
      <c r="L20" s="19" t="s">
        <v>19</v>
      </c>
      <c r="M20" s="22">
        <f>SUM(M14:M19)</f>
        <v>840953.25</v>
      </c>
      <c r="N20" s="22">
        <f>SUM(N14:N19)</f>
        <v>840953.25</v>
      </c>
      <c r="O20" s="22">
        <f>SUM(O14:O19)</f>
        <v>840953.25</v>
      </c>
      <c r="P20" s="22"/>
      <c r="Q20" s="22">
        <f>SUM(Q13:Q19)</f>
        <v>840953.25</v>
      </c>
      <c r="R20" s="29">
        <f>+Q20+Q28</f>
        <v>-6371863.0999999996</v>
      </c>
      <c r="S20" s="29"/>
      <c r="AA20" s="19" t="s">
        <v>19</v>
      </c>
      <c r="AB20" s="22">
        <f>SUM(AB14:AB19)</f>
        <v>2262334.54</v>
      </c>
      <c r="AC20" s="22">
        <f>SUM(AC14:AC19)</f>
        <v>2262334.54</v>
      </c>
      <c r="AD20" s="22">
        <f>SUM(AD14:AD19)</f>
        <v>2262334.54</v>
      </c>
      <c r="AE20" s="21"/>
      <c r="AF20" s="22">
        <f>SUM(AF13:AF19)</f>
        <v>2282843.85</v>
      </c>
      <c r="AG20" s="29">
        <f>+AF20+AF28</f>
        <v>-264633.80000000028</v>
      </c>
    </row>
    <row r="21" spans="1:35">
      <c r="A21" s="19"/>
      <c r="B21" s="21"/>
      <c r="C21" s="21"/>
      <c r="D21" s="21"/>
      <c r="E21" s="21"/>
      <c r="H21" s="29">
        <f>163791.9-6800288.8</f>
        <v>-6636496.8999999994</v>
      </c>
      <c r="I21" s="19"/>
      <c r="J21" s="38"/>
      <c r="K21" s="19"/>
      <c r="L21" s="19"/>
      <c r="M21" s="22"/>
      <c r="N21" s="22"/>
      <c r="O21" s="22"/>
      <c r="P21" s="22"/>
      <c r="Q21" s="22"/>
      <c r="R21" s="34">
        <f>840953.25-7212816.35</f>
        <v>-6371863.0999999996</v>
      </c>
      <c r="AA21" s="19"/>
      <c r="AB21" s="21"/>
      <c r="AC21" s="21"/>
      <c r="AD21" s="21"/>
      <c r="AE21" s="21"/>
      <c r="AF21" s="22"/>
      <c r="AG21" s="34">
        <f>-677161.35+412527.55</f>
        <v>-264633.8</v>
      </c>
    </row>
    <row r="22" spans="1:35">
      <c r="A22" s="33" t="s">
        <v>20</v>
      </c>
      <c r="B22" s="21"/>
      <c r="C22" s="21"/>
      <c r="D22" s="21"/>
      <c r="E22" s="21"/>
      <c r="H22" s="29">
        <f>H21-H20</f>
        <v>0</v>
      </c>
      <c r="I22" s="19"/>
      <c r="J22" s="19"/>
      <c r="K22" s="19"/>
      <c r="L22" s="33" t="s">
        <v>20</v>
      </c>
      <c r="M22" s="22"/>
      <c r="N22" s="22"/>
      <c r="O22" s="22"/>
      <c r="P22" s="22"/>
      <c r="Q22" s="22"/>
      <c r="R22" s="29">
        <f>R20-R21</f>
        <v>0</v>
      </c>
      <c r="AA22" s="33" t="s">
        <v>20</v>
      </c>
      <c r="AB22" s="21"/>
      <c r="AC22" s="21"/>
      <c r="AD22" s="21"/>
      <c r="AE22" s="21"/>
      <c r="AF22" s="22"/>
      <c r="AG22" s="29">
        <f>AG20-AG21</f>
        <v>0</v>
      </c>
    </row>
    <row r="23" spans="1:35">
      <c r="A23" s="19" t="s">
        <v>21</v>
      </c>
      <c r="B23" s="22">
        <f>+F23</f>
        <v>-1543800</v>
      </c>
      <c r="C23" s="22">
        <f>+F23</f>
        <v>-1543800</v>
      </c>
      <c r="D23" s="22">
        <f>+F23</f>
        <v>-1543800</v>
      </c>
      <c r="E23" s="21"/>
      <c r="F23" s="22">
        <f>-128650*12</f>
        <v>-1543800</v>
      </c>
      <c r="H23" s="40" t="s">
        <v>6</v>
      </c>
      <c r="I23" s="38">
        <f>SUM(SOFIA!C2,SOFIA!C3,SOFIA!C4,SOFIA!C5)</f>
        <v>-1543800</v>
      </c>
      <c r="J23" s="38"/>
      <c r="K23" s="19"/>
      <c r="L23" s="19" t="s">
        <v>21</v>
      </c>
      <c r="M23" s="22">
        <f>+Q23</f>
        <v>0</v>
      </c>
      <c r="N23" s="22">
        <f>+Q23</f>
        <v>0</v>
      </c>
      <c r="O23" s="22">
        <f>+Q23</f>
        <v>0</v>
      </c>
      <c r="P23" s="22"/>
      <c r="Q23" s="22">
        <v>0</v>
      </c>
      <c r="R23" s="40" t="s">
        <v>6</v>
      </c>
      <c r="AA23" s="19" t="s">
        <v>21</v>
      </c>
      <c r="AB23" s="22">
        <f>+AF23</f>
        <v>-1543800</v>
      </c>
      <c r="AC23" s="22">
        <f>+AF23</f>
        <v>-1543800</v>
      </c>
      <c r="AD23" s="22">
        <f>+AF23</f>
        <v>-1543800</v>
      </c>
      <c r="AE23" s="21"/>
      <c r="AF23" s="22">
        <f t="shared" ref="AF23:AF27" si="1">+F23-Q23</f>
        <v>-1543800</v>
      </c>
      <c r="AG23" s="40" t="s">
        <v>6</v>
      </c>
    </row>
    <row r="24" spans="1:35">
      <c r="A24" s="19" t="s">
        <v>22</v>
      </c>
      <c r="B24" s="22">
        <f>+F24</f>
        <v>-7212816</v>
      </c>
      <c r="C24" s="22">
        <f>+F24</f>
        <v>-7212816</v>
      </c>
      <c r="D24" s="22">
        <f>+F24</f>
        <v>-7212816</v>
      </c>
      <c r="E24" s="22"/>
      <c r="F24" s="22">
        <f>-7212816.35+0.35</f>
        <v>-7212816</v>
      </c>
      <c r="H24" s="40" t="s">
        <v>55</v>
      </c>
      <c r="I24" s="38">
        <f>SUM(SOFIA!C7,SOFIA!C8)</f>
        <v>-7212816.3499999996</v>
      </c>
      <c r="J24" s="38"/>
      <c r="K24" s="38"/>
      <c r="L24" s="19" t="s">
        <v>22</v>
      </c>
      <c r="M24" s="22">
        <f>+Q24</f>
        <v>-7212816.3499999996</v>
      </c>
      <c r="N24" s="22">
        <f>+Q24</f>
        <v>-7212816.3499999996</v>
      </c>
      <c r="O24" s="22">
        <f>+Q24</f>
        <v>-7212816.3499999996</v>
      </c>
      <c r="P24" s="22"/>
      <c r="Q24" s="22">
        <f>+F24-0.35</f>
        <v>-7212816.3499999996</v>
      </c>
      <c r="R24" s="40" t="s">
        <v>55</v>
      </c>
      <c r="AA24" s="19" t="s">
        <v>22</v>
      </c>
      <c r="AB24" s="22">
        <f>+AF24</f>
        <v>0.34999999962747097</v>
      </c>
      <c r="AC24" s="22">
        <f>+AF24</f>
        <v>0.34999999962747097</v>
      </c>
      <c r="AD24" s="22">
        <f>+AF24</f>
        <v>0.34999999962747097</v>
      </c>
      <c r="AE24" s="22"/>
      <c r="AF24" s="22">
        <f>+F24-Q24</f>
        <v>0.34999999962747097</v>
      </c>
      <c r="AG24" s="40" t="s">
        <v>55</v>
      </c>
    </row>
    <row r="25" spans="1:35">
      <c r="A25" s="19" t="s">
        <v>23</v>
      </c>
      <c r="B25" s="22">
        <f>+F25</f>
        <v>-1003678</v>
      </c>
      <c r="C25" s="22">
        <f>+F25</f>
        <v>-1003678</v>
      </c>
      <c r="D25" s="22">
        <f>+F25</f>
        <v>-1003678</v>
      </c>
      <c r="E25" s="21"/>
      <c r="F25" s="22">
        <f>-ROUND((1003678/12*12),2)-ROUND((234348.45/9*0),2)</f>
        <v>-1003678</v>
      </c>
      <c r="H25" s="37" t="s">
        <v>206</v>
      </c>
      <c r="I25" s="38">
        <f>SUM(SOFIA!C10:C11)</f>
        <v>-1003678</v>
      </c>
      <c r="J25" s="38"/>
      <c r="K25" s="19"/>
      <c r="L25" s="19" t="s">
        <v>23</v>
      </c>
      <c r="M25" s="22">
        <f>+Q25</f>
        <v>0</v>
      </c>
      <c r="N25" s="22">
        <f>+Q25</f>
        <v>0</v>
      </c>
      <c r="O25" s="22">
        <f>+Q25</f>
        <v>0</v>
      </c>
      <c r="P25" s="22"/>
      <c r="Q25" s="22">
        <v>0</v>
      </c>
      <c r="R25" s="37">
        <v>92600211</v>
      </c>
      <c r="AA25" s="19" t="s">
        <v>23</v>
      </c>
      <c r="AB25" s="22">
        <f>+AF25</f>
        <v>-1003678</v>
      </c>
      <c r="AC25" s="22">
        <f>+AF25</f>
        <v>-1003678</v>
      </c>
      <c r="AD25" s="22">
        <f>+AF25</f>
        <v>-1003678</v>
      </c>
      <c r="AE25" s="21"/>
      <c r="AF25" s="22">
        <f t="shared" si="1"/>
        <v>-1003678</v>
      </c>
      <c r="AG25" s="37">
        <v>92600211</v>
      </c>
    </row>
    <row r="26" spans="1:35">
      <c r="A26" s="19" t="s">
        <v>27</v>
      </c>
      <c r="B26" s="22">
        <v>0</v>
      </c>
      <c r="C26" s="22">
        <v>0</v>
      </c>
      <c r="D26" s="22">
        <v>0</v>
      </c>
      <c r="E26" s="21"/>
      <c r="F26" s="22">
        <v>0</v>
      </c>
      <c r="H26" s="18" t="s">
        <v>80</v>
      </c>
      <c r="I26" s="38">
        <f>SUM(SOFIA!C6)</f>
        <v>0</v>
      </c>
      <c r="J26" s="38"/>
      <c r="K26" s="19"/>
      <c r="L26" s="19" t="s">
        <v>27</v>
      </c>
      <c r="M26" s="22">
        <v>0</v>
      </c>
      <c r="N26" s="22">
        <v>0</v>
      </c>
      <c r="O26" s="22">
        <v>0</v>
      </c>
      <c r="P26" s="22"/>
      <c r="Q26" s="22">
        <f>+F26</f>
        <v>0</v>
      </c>
      <c r="R26" s="37">
        <v>41900012</v>
      </c>
      <c r="AA26" s="19" t="s">
        <v>27</v>
      </c>
      <c r="AB26" s="22">
        <v>0</v>
      </c>
      <c r="AC26" s="22">
        <v>0</v>
      </c>
      <c r="AD26" s="22">
        <v>0</v>
      </c>
      <c r="AE26" s="21"/>
      <c r="AF26" s="22">
        <f t="shared" si="1"/>
        <v>0</v>
      </c>
      <c r="AG26" s="37">
        <v>41900012</v>
      </c>
    </row>
    <row r="27" spans="1:35">
      <c r="A27" s="19" t="s">
        <v>24</v>
      </c>
      <c r="B27" s="31">
        <f>+F27</f>
        <v>0</v>
      </c>
      <c r="C27" s="31">
        <v>0</v>
      </c>
      <c r="D27" s="31">
        <v>0</v>
      </c>
      <c r="E27" s="21"/>
      <c r="F27" s="31">
        <f>-ROUND((((0)/12)*12),2)</f>
        <v>0</v>
      </c>
      <c r="H27" s="16" t="s">
        <v>3</v>
      </c>
      <c r="I27" s="19"/>
      <c r="J27" s="19"/>
      <c r="K27" s="19"/>
      <c r="L27" s="19" t="s">
        <v>24</v>
      </c>
      <c r="M27" s="31">
        <f>+Q27</f>
        <v>0</v>
      </c>
      <c r="N27" s="31">
        <v>0</v>
      </c>
      <c r="O27" s="31">
        <v>0</v>
      </c>
      <c r="P27" s="22"/>
      <c r="Q27" s="31">
        <v>0</v>
      </c>
      <c r="R27" s="16" t="s">
        <v>3</v>
      </c>
      <c r="AA27" s="19" t="s">
        <v>24</v>
      </c>
      <c r="AB27" s="31">
        <f>+AF27</f>
        <v>0</v>
      </c>
      <c r="AC27" s="31">
        <v>0</v>
      </c>
      <c r="AD27" s="31">
        <v>0</v>
      </c>
      <c r="AE27" s="21"/>
      <c r="AF27" s="31">
        <f t="shared" si="1"/>
        <v>0</v>
      </c>
      <c r="AG27" s="16" t="s">
        <v>3</v>
      </c>
    </row>
    <row r="28" spans="1:35">
      <c r="A28" s="19" t="s">
        <v>19</v>
      </c>
      <c r="B28" s="22">
        <f>SUM(B23:B27)</f>
        <v>-9760294</v>
      </c>
      <c r="C28" s="22">
        <f>SUM(C23:C27)</f>
        <v>-9760294</v>
      </c>
      <c r="D28" s="22">
        <f>SUM(D23:D27)</f>
        <v>-9760294</v>
      </c>
      <c r="E28" s="21"/>
      <c r="F28" s="22">
        <f>SUM(F23:F27)</f>
        <v>-9760294</v>
      </c>
      <c r="H28" s="29"/>
      <c r="I28" s="19"/>
      <c r="J28" s="41"/>
      <c r="K28" s="42"/>
      <c r="L28" s="19" t="s">
        <v>19</v>
      </c>
      <c r="M28" s="22">
        <f>SUM(M23:M27)</f>
        <v>-7212816.3499999996</v>
      </c>
      <c r="N28" s="22">
        <f>SUM(N23:N27)</f>
        <v>-7212816.3499999996</v>
      </c>
      <c r="O28" s="22">
        <f>SUM(O23:O27)</f>
        <v>-7212816.3499999996</v>
      </c>
      <c r="P28" s="22"/>
      <c r="Q28" s="22">
        <f>SUM(Q23:Q27)</f>
        <v>-7212816.3499999996</v>
      </c>
      <c r="R28" s="29"/>
      <c r="AA28" s="19" t="s">
        <v>19</v>
      </c>
      <c r="AB28" s="22">
        <f>SUM(AB23:AB27)</f>
        <v>-2547477.6500000004</v>
      </c>
      <c r="AC28" s="22">
        <f>SUM(AC23:AC27)</f>
        <v>-2547477.6500000004</v>
      </c>
      <c r="AD28" s="22">
        <f>SUM(AD23:AD27)</f>
        <v>-2547477.6500000004</v>
      </c>
      <c r="AE28" s="21"/>
      <c r="AF28" s="22">
        <f>SUM(AF23:AF27)</f>
        <v>-2547477.6500000004</v>
      </c>
      <c r="AG28" s="29"/>
    </row>
    <row r="29" spans="1:35">
      <c r="A29" s="19"/>
      <c r="B29" s="22"/>
      <c r="C29" s="22"/>
      <c r="D29" s="22"/>
      <c r="E29" s="21"/>
      <c r="I29" s="19"/>
      <c r="J29" s="22"/>
      <c r="K29" s="22"/>
      <c r="L29" s="19"/>
      <c r="M29" s="22"/>
      <c r="N29" s="22"/>
      <c r="O29" s="22"/>
      <c r="P29" s="22"/>
      <c r="Q29" s="22"/>
      <c r="AA29" s="19"/>
      <c r="AB29" s="22"/>
      <c r="AC29" s="22"/>
      <c r="AD29" s="22"/>
      <c r="AE29" s="21"/>
      <c r="AF29" s="22"/>
    </row>
    <row r="30" spans="1:35">
      <c r="A30" s="33" t="s">
        <v>36</v>
      </c>
      <c r="B30" s="22"/>
      <c r="C30" s="21"/>
      <c r="D30" s="21"/>
      <c r="E30" s="21"/>
      <c r="I30" s="19"/>
      <c r="J30" s="22"/>
      <c r="K30" s="22"/>
      <c r="L30" s="33" t="s">
        <v>36</v>
      </c>
      <c r="M30" s="22"/>
      <c r="N30" s="22"/>
      <c r="O30" s="22"/>
      <c r="P30" s="22"/>
      <c r="Q30" s="22"/>
      <c r="AA30" s="33" t="s">
        <v>36</v>
      </c>
      <c r="AB30" s="22"/>
      <c r="AC30" s="21"/>
      <c r="AD30" s="21"/>
      <c r="AE30" s="21"/>
      <c r="AF30" s="22"/>
    </row>
    <row r="31" spans="1:35">
      <c r="A31" s="19" t="s">
        <v>48</v>
      </c>
      <c r="B31" s="22">
        <f>-217673730.96-324281.28+103848674.09</f>
        <v>-114149338.15000001</v>
      </c>
      <c r="C31" s="22">
        <f>+B31</f>
        <v>-114149338.15000001</v>
      </c>
      <c r="D31" s="22">
        <f>+B31</f>
        <v>-114149338.15000001</v>
      </c>
      <c r="E31" s="43"/>
      <c r="F31" s="22">
        <v>-217673730.96000001</v>
      </c>
      <c r="H31" s="16" t="s">
        <v>4</v>
      </c>
      <c r="I31" s="22"/>
      <c r="J31" s="22">
        <v>-19262062.25</v>
      </c>
      <c r="K31" s="22"/>
      <c r="L31" s="19" t="s">
        <v>48</v>
      </c>
      <c r="M31" s="22">
        <f>+Q31</f>
        <v>0</v>
      </c>
      <c r="N31" s="22">
        <f>+Q31</f>
        <v>0</v>
      </c>
      <c r="O31" s="22">
        <f>+Q31</f>
        <v>0</v>
      </c>
      <c r="P31" s="22"/>
      <c r="Q31" s="22">
        <v>0</v>
      </c>
      <c r="R31" s="16" t="s">
        <v>4</v>
      </c>
      <c r="AA31" s="19" t="s">
        <v>48</v>
      </c>
      <c r="AB31" s="22">
        <f>+B31</f>
        <v>-114149338.15000001</v>
      </c>
      <c r="AC31" s="22">
        <f>+AB31</f>
        <v>-114149338.15000001</v>
      </c>
      <c r="AD31" s="22">
        <f>+AB31</f>
        <v>-114149338.15000001</v>
      </c>
      <c r="AE31" s="43"/>
      <c r="AF31" s="22">
        <f t="shared" ref="AF31:AF33" si="2">+F31-Q31</f>
        <v>-217673730.96000001</v>
      </c>
      <c r="AG31" s="16" t="s">
        <v>4</v>
      </c>
    </row>
    <row r="32" spans="1:35">
      <c r="A32" s="27" t="s">
        <v>2</v>
      </c>
      <c r="B32" s="22"/>
      <c r="C32" s="22"/>
      <c r="D32" s="22"/>
      <c r="H32" s="16" t="s">
        <v>4</v>
      </c>
      <c r="I32" s="19"/>
      <c r="J32" s="22">
        <v>19055045.43</v>
      </c>
      <c r="K32" s="22"/>
      <c r="L32" s="27" t="s">
        <v>2</v>
      </c>
      <c r="M32" s="42">
        <v>0</v>
      </c>
      <c r="N32" s="22"/>
      <c r="O32" s="22">
        <f>+N32</f>
        <v>0</v>
      </c>
      <c r="P32" s="22"/>
      <c r="Q32" s="22"/>
      <c r="R32" s="16" t="s">
        <v>4</v>
      </c>
      <c r="AA32" s="27" t="s">
        <v>2</v>
      </c>
      <c r="AB32" s="22"/>
      <c r="AC32" s="22"/>
      <c r="AD32" s="22"/>
      <c r="AE32" s="44"/>
      <c r="AF32" s="22">
        <f t="shared" si="2"/>
        <v>0</v>
      </c>
      <c r="AG32" s="16" t="s">
        <v>4</v>
      </c>
    </row>
    <row r="33" spans="1:33">
      <c r="A33" s="19" t="s">
        <v>37</v>
      </c>
      <c r="B33" s="31">
        <f>+F33</f>
        <v>10447201.48</v>
      </c>
      <c r="C33" s="31">
        <f>+B33</f>
        <v>10447201.48</v>
      </c>
      <c r="D33" s="31">
        <f>+B33</f>
        <v>10447201.48</v>
      </c>
      <c r="E33" s="21"/>
      <c r="F33" s="31">
        <v>10447201.48</v>
      </c>
      <c r="H33" s="16" t="s">
        <v>7</v>
      </c>
      <c r="I33" s="19"/>
      <c r="J33" s="22">
        <v>179317045.47999999</v>
      </c>
      <c r="K33" s="22"/>
      <c r="L33" s="19" t="s">
        <v>37</v>
      </c>
      <c r="M33" s="31">
        <f>+Q33</f>
        <v>7731.19</v>
      </c>
      <c r="N33" s="31">
        <f>+Q33</f>
        <v>7731.19</v>
      </c>
      <c r="O33" s="31">
        <f>+Q33</f>
        <v>7731.19</v>
      </c>
      <c r="P33" s="22"/>
      <c r="Q33" s="31">
        <v>7731.19</v>
      </c>
      <c r="R33" s="16" t="s">
        <v>7</v>
      </c>
      <c r="AA33" s="19" t="s">
        <v>37</v>
      </c>
      <c r="AB33" s="31">
        <f>+AF33</f>
        <v>10439470.290000001</v>
      </c>
      <c r="AC33" s="31">
        <f>+AB33</f>
        <v>10439470.290000001</v>
      </c>
      <c r="AD33" s="31">
        <f>+AB33</f>
        <v>10439470.290000001</v>
      </c>
      <c r="AE33" s="21"/>
      <c r="AF33" s="31">
        <f t="shared" si="2"/>
        <v>10439470.290000001</v>
      </c>
      <c r="AG33" s="16" t="s">
        <v>7</v>
      </c>
    </row>
    <row r="34" spans="1:33">
      <c r="A34" s="19" t="s">
        <v>38</v>
      </c>
      <c r="B34" s="22">
        <f>SUM(B31:B33)</f>
        <v>-103702136.67</v>
      </c>
      <c r="C34" s="22">
        <f>SUM(C31:C33)</f>
        <v>-103702136.67</v>
      </c>
      <c r="D34" s="22">
        <f>SUM(D31:D33)</f>
        <v>-103702136.67</v>
      </c>
      <c r="E34" s="21"/>
      <c r="F34" s="22">
        <f>SUM(F31:F33)</f>
        <v>-207226529.48000002</v>
      </c>
      <c r="H34" s="34">
        <v>-61494363.600000001</v>
      </c>
      <c r="I34" s="38"/>
      <c r="J34" s="22">
        <v>-179434309.94</v>
      </c>
      <c r="K34" s="22"/>
      <c r="L34" s="19" t="s">
        <v>38</v>
      </c>
      <c r="M34" s="22">
        <f>SUM(M31:M33)</f>
        <v>7731.19</v>
      </c>
      <c r="N34" s="22">
        <f>SUM(N31:N33)</f>
        <v>7731.19</v>
      </c>
      <c r="O34" s="22">
        <f>SUM(O31:O33)</f>
        <v>7731.19</v>
      </c>
      <c r="P34" s="22"/>
      <c r="Q34" s="22">
        <f>SUM(Q31:Q33)</f>
        <v>7731.19</v>
      </c>
      <c r="R34" s="22"/>
      <c r="AA34" s="19" t="s">
        <v>38</v>
      </c>
      <c r="AB34" s="22">
        <f>SUM(AB31:AB33)</f>
        <v>-103709867.86</v>
      </c>
      <c r="AC34" s="22">
        <f>SUM(AC31:AC33)</f>
        <v>-103709867.86</v>
      </c>
      <c r="AD34" s="22">
        <f>SUM(AD31:AD33)</f>
        <v>-103709867.86</v>
      </c>
      <c r="AE34" s="21"/>
      <c r="AF34" s="22">
        <f>SUM(AF31:AF33)</f>
        <v>-207234260.67000002</v>
      </c>
      <c r="AG34" s="22"/>
    </row>
    <row r="35" spans="1:33">
      <c r="A35" s="22"/>
      <c r="B35" s="31"/>
      <c r="C35" s="45"/>
      <c r="D35" s="45"/>
      <c r="E35" s="21"/>
      <c r="F35" s="31"/>
      <c r="H35" s="34">
        <v>-6282514.3700000001</v>
      </c>
      <c r="I35" s="19"/>
      <c r="J35" s="39">
        <f>SUM(J31:J34)</f>
        <v>-324281.28000000119</v>
      </c>
      <c r="K35" s="22"/>
      <c r="L35" s="22"/>
      <c r="M35" s="31"/>
      <c r="N35" s="31"/>
      <c r="O35" s="31"/>
      <c r="P35" s="22"/>
      <c r="Q35" s="31"/>
      <c r="AA35" s="22"/>
      <c r="AB35" s="31"/>
      <c r="AC35" s="45"/>
      <c r="AD35" s="45"/>
      <c r="AE35" s="21"/>
      <c r="AF35" s="31"/>
    </row>
    <row r="36" spans="1:33">
      <c r="A36" s="46" t="s">
        <v>47</v>
      </c>
      <c r="B36" s="22">
        <f>+B28+B20+B34+B10</f>
        <v>88867949.210000008</v>
      </c>
      <c r="C36" s="22">
        <f>+C28+C20+C34+C10</f>
        <v>88867949.210000008</v>
      </c>
      <c r="D36" s="22">
        <f>+D28+D20+D34+D10</f>
        <v>88867949.210000008</v>
      </c>
      <c r="E36" s="21"/>
      <c r="F36" s="22">
        <f>+F28+F20+F34+F10</f>
        <v>-14635934.290000021</v>
      </c>
      <c r="H36" s="34">
        <v>-1472928.06</v>
      </c>
      <c r="I36" s="19"/>
      <c r="J36" s="22">
        <v>-14485273.960000001</v>
      </c>
      <c r="K36" s="22"/>
      <c r="L36" s="46" t="s">
        <v>47</v>
      </c>
      <c r="M36" s="22">
        <f>+M28+M20+M34+M10</f>
        <v>-2046419.4299999988</v>
      </c>
      <c r="N36" s="22">
        <f>+N28+N20+N34+N10</f>
        <v>-2046419.4299999988</v>
      </c>
      <c r="O36" s="22">
        <f>+O28+O20+O34+O10</f>
        <v>-2046419.4299999988</v>
      </c>
      <c r="P36" s="22"/>
      <c r="Q36" s="22">
        <f>+Q28+Q20+Q34+Q10</f>
        <v>-2046419.4299999988</v>
      </c>
      <c r="R36" s="34"/>
      <c r="AA36" s="46" t="s">
        <v>47</v>
      </c>
      <c r="AB36" s="22">
        <f>+AB28+AB20+AB34+AB10</f>
        <v>90914368.640000015</v>
      </c>
      <c r="AC36" s="22">
        <f>+AC28+AC20+AC34+AC10</f>
        <v>90914368.640000015</v>
      </c>
      <c r="AD36" s="22">
        <f>+AD28+AD20+AD34+AD10</f>
        <v>90914368.640000015</v>
      </c>
      <c r="AE36" s="21"/>
      <c r="AF36" s="22">
        <f>+AF28+AF20+AF34+AF10</f>
        <v>-12589514.860000014</v>
      </c>
      <c r="AG36" s="34"/>
    </row>
    <row r="37" spans="1:33">
      <c r="A37" s="38"/>
      <c r="B37" s="22"/>
      <c r="C37" s="22"/>
      <c r="D37" s="22"/>
      <c r="E37" s="21"/>
      <c r="H37" s="29">
        <f>SUM(H34:H36)</f>
        <v>-69249806.030000001</v>
      </c>
      <c r="I37" s="19"/>
      <c r="J37" s="42">
        <v>13029227.32</v>
      </c>
      <c r="K37" s="42"/>
      <c r="L37" s="38"/>
      <c r="M37" s="22"/>
      <c r="N37" s="22"/>
      <c r="O37" s="22"/>
      <c r="P37" s="22"/>
      <c r="Q37" s="22"/>
      <c r="AA37" s="38"/>
      <c r="AB37" s="22"/>
      <c r="AC37" s="22"/>
      <c r="AD37" s="22"/>
      <c r="AE37" s="21"/>
      <c r="AF37" s="22"/>
    </row>
    <row r="38" spans="1:33">
      <c r="A38" s="33" t="s">
        <v>25</v>
      </c>
      <c r="B38" s="22"/>
      <c r="C38" s="22"/>
      <c r="D38" s="22"/>
      <c r="E38" s="21"/>
      <c r="H38" s="29"/>
      <c r="I38" s="19"/>
      <c r="J38" s="22">
        <v>152685273.96000001</v>
      </c>
      <c r="K38" s="22"/>
      <c r="L38" s="33" t="s">
        <v>25</v>
      </c>
      <c r="M38" s="22"/>
      <c r="N38" s="22"/>
      <c r="O38" s="22"/>
      <c r="P38" s="22"/>
      <c r="Q38" s="22"/>
      <c r="R38" s="29"/>
      <c r="AA38" s="33" t="s">
        <v>25</v>
      </c>
      <c r="AB38" s="22"/>
      <c r="AC38" s="22"/>
      <c r="AD38" s="22"/>
      <c r="AE38" s="21"/>
      <c r="AF38" s="22"/>
      <c r="AG38" s="29"/>
    </row>
    <row r="39" spans="1:33">
      <c r="A39" s="19" t="s">
        <v>26</v>
      </c>
      <c r="B39" s="22">
        <v>0</v>
      </c>
      <c r="C39" s="22">
        <v>0</v>
      </c>
      <c r="D39" s="22">
        <v>0</v>
      </c>
      <c r="E39" s="22"/>
      <c r="F39" s="22">
        <f>-E49-SUM(E52:E54)</f>
        <v>-2537296.4900000002</v>
      </c>
      <c r="H39" s="29">
        <f>-16897161.34+18240590.34+97150762.09-104776705.46</f>
        <v>-6282514.3699999899</v>
      </c>
      <c r="I39" s="19"/>
      <c r="J39" s="22">
        <v>-47571534.670000002</v>
      </c>
      <c r="K39" s="22"/>
      <c r="L39" s="19" t="s">
        <v>26</v>
      </c>
      <c r="M39" s="22">
        <v>0</v>
      </c>
      <c r="N39" s="22">
        <v>0</v>
      </c>
      <c r="O39" s="22">
        <v>0</v>
      </c>
      <c r="P39" s="22"/>
      <c r="Q39" s="22">
        <f>-P49-SUM(P52:P54)</f>
        <v>820157.77</v>
      </c>
      <c r="R39" s="34"/>
      <c r="AA39" s="19" t="s">
        <v>26</v>
      </c>
      <c r="AB39" s="22">
        <v>0</v>
      </c>
      <c r="AC39" s="22">
        <v>0</v>
      </c>
      <c r="AD39" s="22">
        <v>0</v>
      </c>
      <c r="AE39" s="22"/>
      <c r="AF39" s="22">
        <f>-AE49-SUM(AE52:AE54)</f>
        <v>-3357454.2300000004</v>
      </c>
      <c r="AG39" s="34"/>
    </row>
    <row r="40" spans="1:33">
      <c r="A40" s="19" t="s">
        <v>28</v>
      </c>
      <c r="B40" s="22">
        <v>750000</v>
      </c>
      <c r="C40" s="22">
        <f>+B40</f>
        <v>750000</v>
      </c>
      <c r="D40" s="22">
        <f>+B40</f>
        <v>750000</v>
      </c>
      <c r="E40" s="21"/>
      <c r="F40" s="22">
        <v>0</v>
      </c>
      <c r="H40" s="34">
        <f>-18163715.06+7302667.87+18163715.06-12756030.4+1009593.91-3763910.11-2397890.18+3752825.14</f>
        <v>-6852743.7699999977</v>
      </c>
      <c r="I40" s="19"/>
      <c r="J40" s="22">
        <v>294369.31</v>
      </c>
      <c r="K40" s="22"/>
      <c r="L40" s="19" t="s">
        <v>28</v>
      </c>
      <c r="M40" s="22">
        <f>+B40</f>
        <v>750000</v>
      </c>
      <c r="N40" s="22">
        <f>+M40</f>
        <v>750000</v>
      </c>
      <c r="O40" s="22">
        <f>+M40</f>
        <v>750000</v>
      </c>
      <c r="P40" s="22"/>
      <c r="Q40" s="22">
        <v>0</v>
      </c>
      <c r="AA40" s="19" t="s">
        <v>28</v>
      </c>
      <c r="AB40" s="22">
        <v>0</v>
      </c>
      <c r="AC40" s="22">
        <f>+AB40</f>
        <v>0</v>
      </c>
      <c r="AD40" s="22">
        <f>+AB40</f>
        <v>0</v>
      </c>
      <c r="AE40" s="21"/>
      <c r="AF40" s="22">
        <f t="shared" ref="AF40:AF41" si="3">+F40-Q40</f>
        <v>0</v>
      </c>
    </row>
    <row r="41" spans="1:33">
      <c r="A41" s="30" t="s">
        <v>37</v>
      </c>
      <c r="B41" s="22">
        <v>0</v>
      </c>
      <c r="C41" s="22">
        <v>0</v>
      </c>
      <c r="D41" s="22">
        <v>0</v>
      </c>
      <c r="E41" s="21"/>
      <c r="F41" s="22">
        <v>0</v>
      </c>
      <c r="I41" s="19"/>
      <c r="J41" s="34">
        <v>-3797330.34</v>
      </c>
      <c r="K41" s="22"/>
      <c r="L41" s="19" t="s">
        <v>29</v>
      </c>
      <c r="M41" s="22">
        <v>0</v>
      </c>
      <c r="N41" s="22">
        <v>0</v>
      </c>
      <c r="O41" s="22">
        <v>0</v>
      </c>
      <c r="P41" s="22"/>
      <c r="Q41" s="22">
        <v>0</v>
      </c>
      <c r="R41" s="16" t="s">
        <v>8</v>
      </c>
      <c r="AA41" s="30" t="s">
        <v>37</v>
      </c>
      <c r="AB41" s="22">
        <v>0</v>
      </c>
      <c r="AC41" s="22">
        <v>0</v>
      </c>
      <c r="AD41" s="22">
        <v>0</v>
      </c>
      <c r="AE41" s="21"/>
      <c r="AF41" s="22">
        <f t="shared" si="3"/>
        <v>0</v>
      </c>
      <c r="AG41" s="16" t="s">
        <v>8</v>
      </c>
    </row>
    <row r="42" spans="1:33">
      <c r="A42" s="19" t="s">
        <v>40</v>
      </c>
      <c r="B42" s="39">
        <f>SUM(B39:B41)</f>
        <v>750000</v>
      </c>
      <c r="C42" s="39">
        <f>SUM(C39:C41)</f>
        <v>750000</v>
      </c>
      <c r="D42" s="39">
        <f>SUM(D39:D41)</f>
        <v>750000</v>
      </c>
      <c r="E42" s="21"/>
      <c r="F42" s="39">
        <f>SUM(F39:F41)</f>
        <v>-2537296.4900000002</v>
      </c>
      <c r="I42" s="19"/>
      <c r="J42" s="22">
        <v>-694059.64</v>
      </c>
      <c r="K42" s="22"/>
      <c r="L42" s="19" t="s">
        <v>40</v>
      </c>
      <c r="M42" s="39">
        <f>SUM(M39:M41)</f>
        <v>750000</v>
      </c>
      <c r="N42" s="39">
        <f>SUM(N39:N41)</f>
        <v>750000</v>
      </c>
      <c r="O42" s="39">
        <f>SUM(O39:O41)</f>
        <v>750000</v>
      </c>
      <c r="P42" s="22"/>
      <c r="Q42" s="39">
        <f>SUM(Q39:Q41)</f>
        <v>820157.77</v>
      </c>
      <c r="AA42" s="19" t="s">
        <v>40</v>
      </c>
      <c r="AB42" s="39">
        <f>SUM(AB39:AB41)</f>
        <v>0</v>
      </c>
      <c r="AC42" s="39">
        <f>SUM(AC39:AC41)</f>
        <v>0</v>
      </c>
      <c r="AD42" s="39">
        <f>SUM(AD39:AD41)</f>
        <v>0</v>
      </c>
      <c r="AE42" s="21"/>
      <c r="AF42" s="39">
        <f>SUM(AF39:AF41)</f>
        <v>-3357454.2300000004</v>
      </c>
    </row>
    <row r="43" spans="1:33">
      <c r="A43" s="27" t="s">
        <v>71</v>
      </c>
      <c r="B43" s="22">
        <f>SUM(B36:B41)</f>
        <v>89617949.210000008</v>
      </c>
      <c r="C43" s="22">
        <f>SUM(C36:C41)</f>
        <v>89617949.210000008</v>
      </c>
      <c r="D43" s="22">
        <f>SUM(D36:D41)</f>
        <v>89617949.210000008</v>
      </c>
      <c r="E43" s="21"/>
      <c r="F43" s="22">
        <f>SUM(F39:F41)+F10+F20+F28+F34</f>
        <v>-17173230.780000031</v>
      </c>
      <c r="H43" s="29"/>
      <c r="I43" s="38"/>
      <c r="J43" s="22">
        <v>4388002.1100000003</v>
      </c>
      <c r="K43" s="22"/>
      <c r="L43" s="19" t="s">
        <v>30</v>
      </c>
      <c r="M43" s="22">
        <f>SUM(M36:M41)</f>
        <v>-1296419.4299999988</v>
      </c>
      <c r="N43" s="22">
        <f>SUM(N36:N41)</f>
        <v>-1296419.4299999988</v>
      </c>
      <c r="O43" s="22">
        <f>SUM(O36:O41)</f>
        <v>-1296419.4299999988</v>
      </c>
      <c r="P43" s="22"/>
      <c r="Q43" s="22">
        <f>SUM(Q39:Q41)+Q10+Q20+Q28+Q34</f>
        <v>-1226261.6599999997</v>
      </c>
      <c r="R43" s="29"/>
      <c r="AA43" s="27" t="s">
        <v>71</v>
      </c>
      <c r="AB43" s="22">
        <f>SUM(AB36:AB41)</f>
        <v>90914368.640000015</v>
      </c>
      <c r="AC43" s="22">
        <f>SUM(AC36:AC41)</f>
        <v>90914368.640000015</v>
      </c>
      <c r="AD43" s="22">
        <f>SUM(AD36:AD41)</f>
        <v>90914368.640000015</v>
      </c>
      <c r="AE43" s="21"/>
      <c r="AF43" s="22">
        <f>SUM(AF39:AF41)+AF10+AF20+AF28+AF34</f>
        <v>-15946969.090000004</v>
      </c>
      <c r="AG43" s="29"/>
    </row>
    <row r="44" spans="1:33">
      <c r="A44" s="27" t="s">
        <v>75</v>
      </c>
      <c r="B44" s="47">
        <v>0.94703899999999996</v>
      </c>
      <c r="C44" s="47">
        <v>2.3852000000000002E-2</v>
      </c>
      <c r="D44" s="47">
        <v>1.4784E-2</v>
      </c>
      <c r="E44" s="21"/>
      <c r="H44" s="29"/>
      <c r="I44" s="19"/>
      <c r="J44" s="39">
        <f>SUM(J36:J43)</f>
        <v>103848674.08999999</v>
      </c>
      <c r="K44" s="22"/>
      <c r="L44" s="27" t="s">
        <v>44</v>
      </c>
      <c r="M44" s="47">
        <f>+B44</f>
        <v>0.94703899999999996</v>
      </c>
      <c r="N44" s="47">
        <f>+C44</f>
        <v>2.3852000000000002E-2</v>
      </c>
      <c r="O44" s="47">
        <f>+D44</f>
        <v>1.4784E-2</v>
      </c>
      <c r="P44" s="22"/>
      <c r="Q44" s="22"/>
      <c r="R44" s="29" t="s">
        <v>9</v>
      </c>
      <c r="AA44" s="27" t="s">
        <v>75</v>
      </c>
      <c r="AB44" s="47">
        <v>0.94703899999999996</v>
      </c>
      <c r="AC44" s="47">
        <v>2.3852000000000002E-2</v>
      </c>
      <c r="AD44" s="47">
        <v>1.4784E-2</v>
      </c>
      <c r="AE44" s="21"/>
      <c r="AF44" s="22"/>
      <c r="AG44" s="29" t="s">
        <v>9</v>
      </c>
    </row>
    <row r="45" spans="1:33" ht="18" customHeight="1">
      <c r="A45" s="27" t="s">
        <v>45</v>
      </c>
      <c r="B45" s="22">
        <f>ROUND(+B43*B44,2)-0.01</f>
        <v>84871692.989999995</v>
      </c>
      <c r="C45" s="22">
        <f>ROUND(+C43*C44,2)</f>
        <v>2137567.3199999998</v>
      </c>
      <c r="D45" s="22">
        <f>ROUND(+D43*D44,2)+0.01</f>
        <v>1324911.77</v>
      </c>
      <c r="E45" s="21"/>
      <c r="H45" s="29"/>
      <c r="I45" s="19"/>
      <c r="J45" s="38"/>
      <c r="K45" s="38"/>
      <c r="L45" s="27" t="s">
        <v>45</v>
      </c>
      <c r="M45" s="22">
        <f>+M43*M44-0.01</f>
        <v>-1227759.7705677687</v>
      </c>
      <c r="N45" s="22">
        <f>+N43*N44</f>
        <v>-30922.196244359973</v>
      </c>
      <c r="O45" s="22">
        <f>+O43*O44</f>
        <v>-19166.264853119981</v>
      </c>
      <c r="P45" s="22"/>
      <c r="Q45" s="22"/>
      <c r="R45" s="29"/>
      <c r="AA45" s="27" t="s">
        <v>45</v>
      </c>
      <c r="AB45" s="22">
        <f>ROUND(+AB43*AB44,2)</f>
        <v>86099452.760000005</v>
      </c>
      <c r="AC45" s="22">
        <f>ROUND(+AC43*AC44,2)</f>
        <v>2168489.52</v>
      </c>
      <c r="AD45" s="22">
        <f>ROUND(+AD43*AD44,2)</f>
        <v>1344078.03</v>
      </c>
      <c r="AE45" s="21"/>
      <c r="AF45" s="22"/>
    </row>
    <row r="46" spans="1:33">
      <c r="A46" s="30" t="s">
        <v>70</v>
      </c>
      <c r="B46" s="31">
        <v>-5000</v>
      </c>
      <c r="C46" s="31">
        <v>0</v>
      </c>
      <c r="D46" s="31">
        <v>0</v>
      </c>
      <c r="E46" s="21"/>
      <c r="H46" s="16" t="s">
        <v>8</v>
      </c>
      <c r="I46" s="19"/>
      <c r="J46" s="22"/>
      <c r="K46" s="22"/>
      <c r="L46" s="27"/>
      <c r="M46" s="22"/>
      <c r="N46" s="22"/>
      <c r="O46" s="22"/>
      <c r="P46" s="22"/>
      <c r="Q46" s="22"/>
      <c r="R46" s="29"/>
      <c r="AA46" s="30" t="s">
        <v>70</v>
      </c>
      <c r="AB46" s="31">
        <v>-5000</v>
      </c>
      <c r="AC46" s="31">
        <v>0</v>
      </c>
      <c r="AD46" s="31">
        <v>0</v>
      </c>
      <c r="AE46" s="21"/>
      <c r="AF46" s="22"/>
    </row>
    <row r="47" spans="1:33">
      <c r="A47" s="27" t="s">
        <v>72</v>
      </c>
      <c r="B47" s="22">
        <f>+B45+B46</f>
        <v>84866692.989999995</v>
      </c>
      <c r="C47" s="22">
        <f>+C45+C46</f>
        <v>2137567.3199999998</v>
      </c>
      <c r="D47" s="22">
        <f>+D45+D46</f>
        <v>1324911.77</v>
      </c>
      <c r="E47" s="21"/>
      <c r="H47" s="29"/>
      <c r="L47" s="27"/>
      <c r="M47" s="22"/>
      <c r="N47" s="22"/>
      <c r="O47" s="22"/>
      <c r="P47" s="22"/>
      <c r="Q47" s="22"/>
      <c r="R47" s="29"/>
      <c r="AA47" s="27" t="s">
        <v>72</v>
      </c>
      <c r="AB47" s="22">
        <f>+AB45+AB46+0.01</f>
        <v>86094452.770000011</v>
      </c>
      <c r="AC47" s="22">
        <f>+AC45+AC46</f>
        <v>2168489.52</v>
      </c>
      <c r="AD47" s="22">
        <f>+AD45+AD46</f>
        <v>1344078.03</v>
      </c>
      <c r="AE47" s="21"/>
      <c r="AF47" s="22"/>
    </row>
    <row r="48" spans="1:33">
      <c r="A48" s="30" t="s">
        <v>128</v>
      </c>
      <c r="B48" s="48">
        <v>5.5E-2</v>
      </c>
      <c r="C48" s="48">
        <v>0.05</v>
      </c>
      <c r="D48" s="49">
        <v>5.6603768999999998E-2</v>
      </c>
      <c r="E48" s="47"/>
      <c r="F48" s="31">
        <v>0.35</v>
      </c>
      <c r="G48" s="31"/>
      <c r="H48" s="50" t="s">
        <v>63</v>
      </c>
      <c r="J48" s="34"/>
      <c r="L48" s="30" t="s">
        <v>128</v>
      </c>
      <c r="M48" s="51">
        <v>5.5E-2</v>
      </c>
      <c r="N48" s="51">
        <v>0.05</v>
      </c>
      <c r="O48" s="51">
        <v>5.6603768999999998E-2</v>
      </c>
      <c r="P48" s="31"/>
      <c r="Q48" s="31">
        <v>0.35</v>
      </c>
      <c r="R48" s="50" t="s">
        <v>63</v>
      </c>
      <c r="AA48" s="30" t="s">
        <v>128</v>
      </c>
      <c r="AB48" s="48">
        <v>5.5E-2</v>
      </c>
      <c r="AC48" s="48">
        <v>0.05</v>
      </c>
      <c r="AD48" s="49">
        <v>5.6603768999999998E-2</v>
      </c>
      <c r="AE48" s="47"/>
      <c r="AF48" s="31">
        <v>0.35</v>
      </c>
    </row>
    <row r="49" spans="1:32">
      <c r="A49" s="19" t="s">
        <v>41</v>
      </c>
      <c r="B49" s="22">
        <f>ROUND(+B47*B48,2)+0.01</f>
        <v>4667668.12</v>
      </c>
      <c r="C49" s="22">
        <f>ROUND(+C47*C48,2)</f>
        <v>106878.37</v>
      </c>
      <c r="D49" s="22">
        <f>ROUND(+D47*D48,2)</f>
        <v>74995</v>
      </c>
      <c r="E49" s="22">
        <f>SUM(B49:D49)</f>
        <v>4849541.49</v>
      </c>
      <c r="F49" s="22">
        <f>ROUND(+F43*F48,2)</f>
        <v>-6010630.7699999996</v>
      </c>
      <c r="H49" s="29">
        <f t="shared" ref="H49:H57" si="4">+E49+F49</f>
        <v>-1161089.2799999993</v>
      </c>
      <c r="I49" s="29"/>
      <c r="J49" s="34"/>
      <c r="L49" s="19" t="s">
        <v>41</v>
      </c>
      <c r="M49" s="42">
        <f>+ROUND(M45*M48,2)+0.01</f>
        <v>-67526.78</v>
      </c>
      <c r="N49" s="42">
        <f>+ROUND(N45*N48,2)</f>
        <v>-1546.11</v>
      </c>
      <c r="O49" s="42">
        <f>+ROUND(O45*O48,2)</f>
        <v>-1084.8800000000001</v>
      </c>
      <c r="P49" s="22">
        <f>SUM(M49:O49)</f>
        <v>-70157.77</v>
      </c>
      <c r="Q49" s="22">
        <f>ROUND(+Q43*Q48,3)</f>
        <v>-429191.58100000001</v>
      </c>
      <c r="R49" s="29">
        <f t="shared" ref="R49:R60" si="5">+P49+Q49</f>
        <v>-499349.35100000002</v>
      </c>
      <c r="T49" s="34"/>
      <c r="AA49" s="19" t="s">
        <v>41</v>
      </c>
      <c r="AB49" s="22">
        <f>ROUND(+AB47*AB48,2)-0.01</f>
        <v>4735194.8900000006</v>
      </c>
      <c r="AC49" s="22">
        <f>ROUND(+AC47*AC48,2)-0.01</f>
        <v>108424.47</v>
      </c>
      <c r="AD49" s="22">
        <f>ROUND(+AD47*AD48,2)-0.01</f>
        <v>76079.87000000001</v>
      </c>
      <c r="AE49" s="22">
        <f>SUM(AB49:AD49)</f>
        <v>4919699.2300000004</v>
      </c>
      <c r="AF49" s="22">
        <f>ROUND(+AF43*AF48,2)+0.01</f>
        <v>-5581439.1699999999</v>
      </c>
    </row>
    <row r="50" spans="1:32">
      <c r="A50" s="19"/>
      <c r="B50" s="22"/>
      <c r="C50" s="22"/>
      <c r="D50" s="22"/>
      <c r="E50" s="22"/>
      <c r="H50" s="29"/>
      <c r="I50" s="29"/>
      <c r="J50" s="34"/>
      <c r="L50" s="19"/>
      <c r="M50" s="42"/>
      <c r="N50" s="42"/>
      <c r="O50" s="42"/>
      <c r="P50" s="22"/>
      <c r="Q50" s="22"/>
      <c r="R50" s="29"/>
      <c r="T50" s="34"/>
      <c r="AA50" s="19"/>
      <c r="AB50" s="22"/>
      <c r="AC50" s="22"/>
      <c r="AD50" s="22"/>
      <c r="AE50" s="22"/>
      <c r="AF50" s="22"/>
    </row>
    <row r="51" spans="1:32">
      <c r="A51" s="32" t="s">
        <v>42</v>
      </c>
      <c r="B51" s="22"/>
      <c r="C51" s="22"/>
      <c r="D51" s="22"/>
      <c r="E51" s="22"/>
      <c r="H51" s="34">
        <f t="shared" si="4"/>
        <v>0</v>
      </c>
      <c r="L51" s="32" t="s">
        <v>42</v>
      </c>
      <c r="M51" s="22"/>
      <c r="N51" s="22"/>
      <c r="O51" s="22"/>
      <c r="P51" s="22">
        <f t="shared" ref="P51:P57" si="6">SUM(M51:O51)</f>
        <v>0</v>
      </c>
      <c r="Q51" s="22"/>
      <c r="R51" s="34">
        <f t="shared" si="5"/>
        <v>0</v>
      </c>
      <c r="AA51" s="32" t="s">
        <v>42</v>
      </c>
      <c r="AB51" s="22"/>
      <c r="AC51" s="22"/>
      <c r="AD51" s="22"/>
      <c r="AE51" s="22"/>
      <c r="AF51" s="22"/>
    </row>
    <row r="52" spans="1:32">
      <c r="A52" s="30" t="s">
        <v>73</v>
      </c>
      <c r="B52" s="22">
        <v>-750000</v>
      </c>
      <c r="C52" s="22"/>
      <c r="D52" s="22"/>
      <c r="E52" s="22">
        <f t="shared" ref="E52:E57" si="7">SUM(B52:D52)</f>
        <v>-750000</v>
      </c>
      <c r="H52" s="29">
        <f t="shared" si="4"/>
        <v>-750000</v>
      </c>
      <c r="L52" s="27" t="str">
        <f>+A52</f>
        <v>SCHOLARSHIP CREDIT</v>
      </c>
      <c r="M52" s="22">
        <f>+B52</f>
        <v>-750000</v>
      </c>
      <c r="N52" s="22"/>
      <c r="O52" s="22"/>
      <c r="P52" s="22">
        <f t="shared" si="6"/>
        <v>-750000</v>
      </c>
      <c r="Q52" s="22"/>
      <c r="R52" s="34">
        <f t="shared" si="5"/>
        <v>-750000</v>
      </c>
      <c r="AA52" s="30" t="s">
        <v>73</v>
      </c>
      <c r="AB52" s="22">
        <f t="shared" ref="AB52:AB57" si="8">+B52-M52</f>
        <v>0</v>
      </c>
      <c r="AC52" s="22">
        <f t="shared" ref="AC52:AC57" si="9">+C52-N52</f>
        <v>0</v>
      </c>
      <c r="AD52" s="22">
        <f t="shared" ref="AD52:AD57" si="10">+D52-O52</f>
        <v>0</v>
      </c>
      <c r="AE52" s="22">
        <f t="shared" ref="AE52:AE57" si="11">SUM(AB52:AD52)</f>
        <v>0</v>
      </c>
      <c r="AF52" s="22"/>
    </row>
    <row r="53" spans="1:32">
      <c r="A53" s="30" t="s">
        <v>67</v>
      </c>
      <c r="B53" s="22"/>
      <c r="C53" s="22"/>
      <c r="D53" s="22"/>
      <c r="E53" s="22">
        <f t="shared" si="7"/>
        <v>0</v>
      </c>
      <c r="F53" s="22">
        <f>-ROUND(((113210*0.6)/12*12),2)</f>
        <v>-67926</v>
      </c>
      <c r="H53" s="29">
        <f>+E53+F53</f>
        <v>-67926</v>
      </c>
      <c r="I53" s="16" t="s">
        <v>3</v>
      </c>
      <c r="K53" s="29"/>
      <c r="L53" s="30" t="s">
        <v>67</v>
      </c>
      <c r="M53" s="22"/>
      <c r="N53" s="22"/>
      <c r="O53" s="22"/>
      <c r="P53" s="22">
        <f t="shared" si="6"/>
        <v>0</v>
      </c>
      <c r="Q53" s="22">
        <v>0</v>
      </c>
      <c r="R53" s="29">
        <f>+P53+Q53</f>
        <v>0</v>
      </c>
      <c r="AA53" s="30" t="s">
        <v>67</v>
      </c>
      <c r="AB53" s="22">
        <f t="shared" si="8"/>
        <v>0</v>
      </c>
      <c r="AC53" s="22">
        <f t="shared" si="9"/>
        <v>0</v>
      </c>
      <c r="AD53" s="22">
        <f t="shared" si="10"/>
        <v>0</v>
      </c>
      <c r="AE53" s="22">
        <f t="shared" si="11"/>
        <v>0</v>
      </c>
      <c r="AF53" s="22">
        <f t="shared" ref="AF53:AF57" si="12">+F53-Q53</f>
        <v>-67926</v>
      </c>
    </row>
    <row r="54" spans="1:32">
      <c r="A54" s="16" t="s">
        <v>135</v>
      </c>
      <c r="B54" s="34"/>
      <c r="C54" s="34"/>
      <c r="D54" s="34">
        <f>-ROUND((1562245/12*12),0)</f>
        <v>-1562245</v>
      </c>
      <c r="E54" s="22">
        <f t="shared" si="7"/>
        <v>-1562245</v>
      </c>
      <c r="F54" s="22">
        <v>0</v>
      </c>
      <c r="H54" s="29">
        <f>+E54+F54</f>
        <v>-1562245</v>
      </c>
      <c r="L54" s="16" t="s">
        <v>135</v>
      </c>
      <c r="M54" s="22">
        <f>+B54</f>
        <v>0</v>
      </c>
      <c r="P54" s="22">
        <f t="shared" si="6"/>
        <v>0</v>
      </c>
      <c r="R54" s="34">
        <f t="shared" si="5"/>
        <v>0</v>
      </c>
      <c r="AA54" s="16" t="s">
        <v>135</v>
      </c>
      <c r="AB54" s="34">
        <f t="shared" si="8"/>
        <v>0</v>
      </c>
      <c r="AC54" s="34">
        <f t="shared" si="9"/>
        <v>0</v>
      </c>
      <c r="AD54" s="34">
        <f t="shared" si="10"/>
        <v>-1562245</v>
      </c>
      <c r="AE54" s="22">
        <f t="shared" si="11"/>
        <v>-1562245</v>
      </c>
      <c r="AF54" s="22">
        <f t="shared" si="12"/>
        <v>0</v>
      </c>
    </row>
    <row r="55" spans="1:32">
      <c r="A55" s="27" t="s">
        <v>198</v>
      </c>
      <c r="B55" s="22">
        <f>-2305.71+277595.18</f>
        <v>275289.46999999997</v>
      </c>
      <c r="C55" s="22"/>
      <c r="D55" s="22">
        <f>ROUND(((1562245*0.1)/12*12),0)+1498</f>
        <v>157723</v>
      </c>
      <c r="E55" s="22">
        <f t="shared" si="7"/>
        <v>433012.47</v>
      </c>
      <c r="F55" s="22">
        <f>46006-14672.7+1766514.75</f>
        <v>1797848.05</v>
      </c>
      <c r="H55" s="29">
        <f>+E55+F55</f>
        <v>2230860.52</v>
      </c>
      <c r="K55" s="29"/>
      <c r="L55" s="27" t="s">
        <v>39</v>
      </c>
      <c r="M55" s="22">
        <v>0</v>
      </c>
      <c r="N55" s="22"/>
      <c r="O55" s="22"/>
      <c r="P55" s="22">
        <f t="shared" si="6"/>
        <v>0</v>
      </c>
      <c r="Q55" s="22">
        <v>0</v>
      </c>
      <c r="R55" s="29">
        <f>+P55+Q55</f>
        <v>0</v>
      </c>
      <c r="AA55" s="27" t="s">
        <v>198</v>
      </c>
      <c r="AB55" s="22">
        <f t="shared" si="8"/>
        <v>275289.46999999997</v>
      </c>
      <c r="AC55" s="22">
        <f t="shared" si="9"/>
        <v>0</v>
      </c>
      <c r="AD55" s="22">
        <f t="shared" si="10"/>
        <v>157723</v>
      </c>
      <c r="AE55" s="22">
        <f t="shared" si="11"/>
        <v>433012.47</v>
      </c>
      <c r="AF55" s="22">
        <f t="shared" si="12"/>
        <v>1797848.05</v>
      </c>
    </row>
    <row r="56" spans="1:32">
      <c r="A56" s="30" t="s">
        <v>66</v>
      </c>
      <c r="B56" s="22">
        <f>35644+18879</f>
        <v>54523</v>
      </c>
      <c r="C56" s="22">
        <v>-18879</v>
      </c>
      <c r="D56" s="22"/>
      <c r="E56" s="22">
        <f t="shared" si="7"/>
        <v>35644</v>
      </c>
      <c r="F56" s="22">
        <v>0</v>
      </c>
      <c r="H56" s="29">
        <f>+E56+F56</f>
        <v>35644</v>
      </c>
      <c r="K56" s="29"/>
      <c r="L56" s="30" t="s">
        <v>66</v>
      </c>
      <c r="M56" s="22"/>
      <c r="N56" s="22"/>
      <c r="O56" s="22"/>
      <c r="P56" s="22">
        <f t="shared" si="6"/>
        <v>0</v>
      </c>
      <c r="Q56" s="22">
        <v>0</v>
      </c>
      <c r="R56" s="29">
        <f>+P56+Q56</f>
        <v>0</v>
      </c>
      <c r="AA56" s="30" t="s">
        <v>66</v>
      </c>
      <c r="AB56" s="22">
        <f t="shared" si="8"/>
        <v>54523</v>
      </c>
      <c r="AC56" s="22">
        <f t="shared" si="9"/>
        <v>-18879</v>
      </c>
      <c r="AD56" s="22">
        <f t="shared" si="10"/>
        <v>0</v>
      </c>
      <c r="AE56" s="22">
        <f t="shared" si="11"/>
        <v>35644</v>
      </c>
      <c r="AF56" s="22">
        <f t="shared" si="12"/>
        <v>0</v>
      </c>
    </row>
    <row r="57" spans="1:32">
      <c r="A57" s="27" t="s">
        <v>46</v>
      </c>
      <c r="B57" s="31">
        <f>159064.32-4734+1460045.2</f>
        <v>1614375.52</v>
      </c>
      <c r="C57" s="31">
        <v>-25296.2</v>
      </c>
      <c r="D57" s="31">
        <v>-422632.88</v>
      </c>
      <c r="E57" s="31">
        <f t="shared" si="7"/>
        <v>1166446.44</v>
      </c>
      <c r="F57" s="31">
        <f>-491798.12-28468-12907007</f>
        <v>-13427273.119999999</v>
      </c>
      <c r="G57" s="52"/>
      <c r="H57" s="52">
        <f t="shared" si="4"/>
        <v>-12260826.68</v>
      </c>
      <c r="J57" s="29"/>
      <c r="L57" s="27" t="s">
        <v>46</v>
      </c>
      <c r="M57" s="31">
        <v>-4734</v>
      </c>
      <c r="N57" s="31">
        <v>0</v>
      </c>
      <c r="O57" s="31">
        <v>0</v>
      </c>
      <c r="P57" s="31">
        <f t="shared" si="6"/>
        <v>-4734</v>
      </c>
      <c r="Q57" s="31">
        <v>-28468</v>
      </c>
      <c r="R57" s="52">
        <f t="shared" si="5"/>
        <v>-33202</v>
      </c>
      <c r="U57" s="34"/>
      <c r="V57" s="34"/>
      <c r="AA57" s="27" t="s">
        <v>46</v>
      </c>
      <c r="AB57" s="31">
        <f t="shared" si="8"/>
        <v>1619109.52</v>
      </c>
      <c r="AC57" s="31">
        <f t="shared" si="9"/>
        <v>-25296.2</v>
      </c>
      <c r="AD57" s="31">
        <f t="shared" si="10"/>
        <v>-422632.88</v>
      </c>
      <c r="AE57" s="31">
        <f t="shared" si="11"/>
        <v>1171180.44</v>
      </c>
      <c r="AF57" s="31">
        <f t="shared" si="12"/>
        <v>-13398805.119999999</v>
      </c>
    </row>
    <row r="58" spans="1:32">
      <c r="A58" s="30" t="s">
        <v>51</v>
      </c>
      <c r="B58" s="22">
        <f>SUM(B49:B57)</f>
        <v>5861856.1099999994</v>
      </c>
      <c r="C58" s="22">
        <f>SUM(C49:C57)</f>
        <v>62703.17</v>
      </c>
      <c r="D58" s="22">
        <f>SUM(D49:D57)</f>
        <v>-1752159.88</v>
      </c>
      <c r="E58" s="22">
        <f>SUM(E49:E57)</f>
        <v>4172399.4</v>
      </c>
      <c r="F58" s="22">
        <f>SUM(F49:F57)</f>
        <v>-17707981.84</v>
      </c>
      <c r="G58" s="29"/>
      <c r="H58" s="29">
        <f>ROUND(+E58+F58,2)</f>
        <v>-13535582.439999999</v>
      </c>
      <c r="J58" s="29"/>
      <c r="L58" s="30" t="s">
        <v>51</v>
      </c>
      <c r="M58" s="22">
        <f>SUM(M49:M57)</f>
        <v>-822260.78</v>
      </c>
      <c r="N58" s="22">
        <f>SUM(N49:N57)</f>
        <v>-1546.11</v>
      </c>
      <c r="O58" s="22">
        <f>SUM(O49:O57)</f>
        <v>-1084.8800000000001</v>
      </c>
      <c r="P58" s="22">
        <f>SUM(P49:P57)</f>
        <v>-824891.77</v>
      </c>
      <c r="Q58" s="22">
        <f>SUM(Q49:Q57)</f>
        <v>-457659.58100000001</v>
      </c>
      <c r="R58" s="29">
        <f t="shared" si="5"/>
        <v>-1282551.351</v>
      </c>
      <c r="U58" s="34"/>
      <c r="V58" s="34"/>
      <c r="AA58" s="30" t="s">
        <v>51</v>
      </c>
      <c r="AB58" s="22">
        <f>SUM(AB49:AB57)</f>
        <v>6684116.8800000008</v>
      </c>
      <c r="AC58" s="22">
        <f>SUM(AC49:AC57)</f>
        <v>64249.270000000004</v>
      </c>
      <c r="AD58" s="22">
        <f>SUM(AD49:AD57)</f>
        <v>-1751075.0099999998</v>
      </c>
      <c r="AE58" s="22">
        <f>SUM(AE49:AE57)</f>
        <v>4997291.1400000006</v>
      </c>
      <c r="AF58" s="22">
        <f>SUM(AF49:AF57)</f>
        <v>-17250322.239999998</v>
      </c>
    </row>
    <row r="59" spans="1:32">
      <c r="A59" s="30" t="s">
        <v>199</v>
      </c>
      <c r="B59" s="31">
        <v>10.87</v>
      </c>
      <c r="C59" s="31">
        <v>0</v>
      </c>
      <c r="D59" s="31">
        <v>0</v>
      </c>
      <c r="E59" s="31">
        <f>SUM(B59:D59)</f>
        <v>10.87</v>
      </c>
      <c r="F59" s="53">
        <v>65.34</v>
      </c>
      <c r="G59" s="52"/>
      <c r="H59" s="52">
        <f>+E59+F59</f>
        <v>76.210000000000008</v>
      </c>
      <c r="I59" s="54" t="s">
        <v>52</v>
      </c>
      <c r="J59" s="54" t="s">
        <v>53</v>
      </c>
      <c r="L59" s="27" t="str">
        <f>+A59</f>
        <v>MISCELLANEOUS</v>
      </c>
      <c r="M59" s="31"/>
      <c r="N59" s="31"/>
      <c r="O59" s="31"/>
      <c r="P59" s="31">
        <f>SUM(M59:O59)</f>
        <v>0</v>
      </c>
      <c r="Q59" s="53"/>
      <c r="R59" s="52">
        <f t="shared" si="5"/>
        <v>0</v>
      </c>
      <c r="U59" s="34"/>
      <c r="V59" s="34"/>
      <c r="AA59" s="30" t="s">
        <v>199</v>
      </c>
      <c r="AB59" s="31">
        <f>+B59</f>
        <v>10.87</v>
      </c>
      <c r="AC59" s="31">
        <v>0</v>
      </c>
      <c r="AD59" s="31">
        <v>0</v>
      </c>
      <c r="AE59" s="31">
        <f>SUM(AB59:AD59)</f>
        <v>10.87</v>
      </c>
      <c r="AF59" s="53">
        <f>+F59</f>
        <v>65.34</v>
      </c>
    </row>
    <row r="60" spans="1:32">
      <c r="A60" s="19" t="s">
        <v>54</v>
      </c>
      <c r="B60" s="22">
        <f>+B58+B59</f>
        <v>5861866.9799999995</v>
      </c>
      <c r="C60" s="22">
        <f>+C58+C59</f>
        <v>62703.17</v>
      </c>
      <c r="D60" s="22">
        <f>+D58+D59</f>
        <v>-1752159.88</v>
      </c>
      <c r="E60" s="22">
        <f>+E58+E59</f>
        <v>4172410.27</v>
      </c>
      <c r="F60" s="22">
        <f>+F58+F59</f>
        <v>-17707916.5</v>
      </c>
      <c r="G60" s="29"/>
      <c r="H60" s="29">
        <f>ROUND(+E60+F60,2)</f>
        <v>-13535506.23</v>
      </c>
      <c r="I60" s="29">
        <f>SUM('[1]Sch 4A'!$D$41:$D$42)</f>
        <v>-13535506.23</v>
      </c>
      <c r="J60" s="29">
        <f>SUM('[2]Sch 60A'!$F$128,'[2]Sch 60A'!$F$157)</f>
        <v>-13535506.23</v>
      </c>
      <c r="L60" s="19" t="s">
        <v>54</v>
      </c>
      <c r="M60" s="22">
        <f>+M58+M59</f>
        <v>-822260.78</v>
      </c>
      <c r="N60" s="22">
        <f>+N58+N59</f>
        <v>-1546.11</v>
      </c>
      <c r="O60" s="22">
        <f>+O58+O59</f>
        <v>-1084.8800000000001</v>
      </c>
      <c r="P60" s="22">
        <f>+P58+P59</f>
        <v>-824891.77</v>
      </c>
      <c r="Q60" s="22">
        <f>+Q58+Q59</f>
        <v>-457659.58100000001</v>
      </c>
      <c r="R60" s="29">
        <f t="shared" si="5"/>
        <v>-1282551.351</v>
      </c>
      <c r="U60" s="34"/>
      <c r="V60" s="34"/>
      <c r="AA60" s="19" t="s">
        <v>54</v>
      </c>
      <c r="AB60" s="22">
        <f>+AB58+AB59</f>
        <v>6684127.7500000009</v>
      </c>
      <c r="AC60" s="22">
        <f>+AC58+AC59</f>
        <v>64249.270000000004</v>
      </c>
      <c r="AD60" s="22">
        <f>+AD58+AD59</f>
        <v>-1751075.0099999998</v>
      </c>
      <c r="AE60" s="22">
        <f>+AE58+AE59</f>
        <v>4997302.0100000007</v>
      </c>
      <c r="AF60" s="22">
        <f>+AF58+AF59</f>
        <v>-17250256.899999999</v>
      </c>
    </row>
    <row r="61" spans="1:32">
      <c r="A61" s="19"/>
      <c r="B61" s="22"/>
      <c r="C61" s="22"/>
      <c r="D61" s="22"/>
      <c r="E61" s="22"/>
      <c r="H61" s="29"/>
      <c r="I61" s="29"/>
      <c r="L61" s="19"/>
      <c r="M61" s="22"/>
      <c r="N61" s="22"/>
      <c r="O61" s="22"/>
      <c r="P61" s="22"/>
      <c r="Q61" s="22"/>
      <c r="U61" s="34"/>
      <c r="V61" s="34"/>
      <c r="AA61" s="19"/>
      <c r="AB61" s="22"/>
      <c r="AC61" s="22"/>
      <c r="AD61" s="22"/>
      <c r="AE61" s="22"/>
      <c r="AF61" s="22"/>
    </row>
    <row r="62" spans="1:32">
      <c r="A62" s="55"/>
      <c r="B62" s="22"/>
      <c r="C62" s="22"/>
      <c r="D62" s="22"/>
      <c r="E62" s="22"/>
      <c r="H62" s="29"/>
      <c r="L62" s="55"/>
      <c r="M62" s="22"/>
      <c r="N62" s="22"/>
      <c r="O62" s="22"/>
      <c r="P62" s="22"/>
      <c r="Q62" s="22"/>
      <c r="R62" s="29"/>
      <c r="U62" s="34"/>
      <c r="V62" s="34"/>
      <c r="AA62" s="55"/>
      <c r="AB62" s="22"/>
      <c r="AC62" s="22"/>
      <c r="AD62" s="22"/>
      <c r="AE62" s="22"/>
      <c r="AF62" s="22"/>
    </row>
    <row r="63" spans="1:32">
      <c r="A63" s="19" t="s">
        <v>139</v>
      </c>
      <c r="B63" s="22">
        <f>21969813.1-B65-B67</f>
        <v>20525991.300000001</v>
      </c>
      <c r="C63" s="22">
        <v>0</v>
      </c>
      <c r="D63" s="22">
        <v>0</v>
      </c>
      <c r="E63" s="22">
        <f t="shared" ref="E63:E68" si="13">SUM(B63:D63)</f>
        <v>20525991.300000001</v>
      </c>
      <c r="F63" s="22">
        <f>167338935.16-F65-F67</f>
        <v>152408830.84999999</v>
      </c>
      <c r="H63" s="34">
        <f>+E63+F63</f>
        <v>172934822.15000001</v>
      </c>
      <c r="I63" s="38">
        <f>SUM('[1]Sch 4A'!$D$43:$D$44)</f>
        <v>189308748.25999999</v>
      </c>
      <c r="J63" s="38">
        <f>SUM('[2]Sch 60A'!$F$130:$F$138,'[2]Sch 60A'!$F$151,'[2]Sch 60A'!$F$153,'[2]Sch 60A'!$F$158)</f>
        <v>189308748.26000002</v>
      </c>
      <c r="K63" s="29"/>
      <c r="L63" s="19" t="s">
        <v>139</v>
      </c>
      <c r="M63" s="22">
        <v>1365.85</v>
      </c>
      <c r="N63" s="22">
        <v>0</v>
      </c>
      <c r="O63" s="22">
        <v>0</v>
      </c>
      <c r="P63" s="22">
        <f t="shared" ref="P63:P64" si="14">SUM(M63:O63)</f>
        <v>1365.85</v>
      </c>
      <c r="Q63" s="22">
        <v>9318.66</v>
      </c>
      <c r="R63" s="34">
        <f>+P63+Q63</f>
        <v>10684.51</v>
      </c>
      <c r="S63" s="29"/>
      <c r="U63" s="34"/>
      <c r="V63" s="34"/>
      <c r="AA63" s="19" t="s">
        <v>139</v>
      </c>
      <c r="AB63" s="22">
        <f t="shared" ref="AB63:AB68" si="15">+B63-M63</f>
        <v>20524625.449999999</v>
      </c>
      <c r="AC63" s="22">
        <f t="shared" ref="AC63:AC68" si="16">+C63-N63</f>
        <v>0</v>
      </c>
      <c r="AD63" s="22">
        <f t="shared" ref="AD63:AD68" si="17">+D63-O63</f>
        <v>0</v>
      </c>
      <c r="AE63" s="22">
        <f t="shared" ref="AE63:AE68" si="18">SUM(AB63:AD63)</f>
        <v>20524625.449999999</v>
      </c>
      <c r="AF63" s="22">
        <f t="shared" ref="AF63:AF68" si="19">+F63-Q63</f>
        <v>152399512.19</v>
      </c>
    </row>
    <row r="64" spans="1:32">
      <c r="A64" s="19" t="s">
        <v>138</v>
      </c>
      <c r="B64" s="22">
        <f>-17965218.91-B66-D66-B68</f>
        <v>-14774829.609999999</v>
      </c>
      <c r="C64" s="22">
        <v>0</v>
      </c>
      <c r="D64" s="22">
        <v>0</v>
      </c>
      <c r="E64" s="22">
        <f t="shared" si="13"/>
        <v>-14774829.609999999</v>
      </c>
      <c r="F64" s="22">
        <f>-86294424.3-F66-F68</f>
        <v>-82452733.679999992</v>
      </c>
      <c r="H64" s="34">
        <f>+E64+F64</f>
        <v>-97227563.289999992</v>
      </c>
      <c r="I64" s="38">
        <f>SUM('[1]Sch 4A'!$D$45:$D$46)</f>
        <v>-104259643.20999999</v>
      </c>
      <c r="J64" s="38">
        <f>SUM('[2]Sch 60A'!$F$141:$F$148,'[2]Sch 60A'!$F$152,'[2]Sch 60A'!$F$154,'[2]Sch 60A'!$F$159)</f>
        <v>-104259643.21000001</v>
      </c>
      <c r="K64" s="29"/>
      <c r="L64" s="19" t="s">
        <v>138</v>
      </c>
      <c r="M64" s="22">
        <v>-1791.06</v>
      </c>
      <c r="N64" s="22">
        <v>0</v>
      </c>
      <c r="O64" s="22">
        <v>0</v>
      </c>
      <c r="P64" s="22">
        <f t="shared" si="14"/>
        <v>-1791.06</v>
      </c>
      <c r="Q64" s="22">
        <v>-11875.74</v>
      </c>
      <c r="R64" s="34">
        <f>+P64+Q64</f>
        <v>-13666.8</v>
      </c>
      <c r="U64" s="34"/>
      <c r="V64" s="34"/>
      <c r="AA64" s="19" t="s">
        <v>138</v>
      </c>
      <c r="AB64" s="22">
        <f t="shared" si="15"/>
        <v>-14773038.549999999</v>
      </c>
      <c r="AC64" s="22">
        <f t="shared" si="16"/>
        <v>0</v>
      </c>
      <c r="AD64" s="22">
        <f t="shared" si="17"/>
        <v>0</v>
      </c>
      <c r="AE64" s="22">
        <f t="shared" si="18"/>
        <v>-14773038.549999999</v>
      </c>
      <c r="AF64" s="22">
        <f t="shared" si="19"/>
        <v>-82440857.939999998</v>
      </c>
    </row>
    <row r="65" spans="1:32">
      <c r="A65" s="19" t="s">
        <v>210</v>
      </c>
      <c r="B65" s="22"/>
      <c r="C65" s="22"/>
      <c r="D65" s="22"/>
      <c r="E65" s="22">
        <f t="shared" si="13"/>
        <v>0</v>
      </c>
      <c r="F65" s="22">
        <v>97158.31</v>
      </c>
      <c r="G65" s="56"/>
      <c r="H65" s="34">
        <f>+F65+E65</f>
        <v>97158.31</v>
      </c>
      <c r="I65" s="38"/>
      <c r="J65" s="38"/>
      <c r="K65" s="29"/>
      <c r="L65" s="19"/>
      <c r="M65" s="22"/>
      <c r="N65" s="22"/>
      <c r="O65" s="22"/>
      <c r="P65" s="22"/>
      <c r="Q65" s="22"/>
      <c r="R65" s="34"/>
      <c r="V65" s="29"/>
      <c r="AA65" s="19" t="s">
        <v>136</v>
      </c>
      <c r="AB65" s="22">
        <f t="shared" si="15"/>
        <v>0</v>
      </c>
      <c r="AC65" s="22">
        <f t="shared" si="16"/>
        <v>0</v>
      </c>
      <c r="AD65" s="22">
        <f t="shared" si="17"/>
        <v>0</v>
      </c>
      <c r="AE65" s="22">
        <f t="shared" si="18"/>
        <v>0</v>
      </c>
      <c r="AF65" s="22">
        <f t="shared" si="19"/>
        <v>97158.31</v>
      </c>
    </row>
    <row r="66" spans="1:32">
      <c r="A66" s="19" t="s">
        <v>211</v>
      </c>
      <c r="B66" s="22">
        <v>-277595.18</v>
      </c>
      <c r="C66" s="22"/>
      <c r="D66" s="22">
        <v>-8927.1200000000008</v>
      </c>
      <c r="E66" s="22">
        <f t="shared" si="13"/>
        <v>-286522.3</v>
      </c>
      <c r="F66" s="22">
        <f>-1766514.75-149236.87</f>
        <v>-1915751.62</v>
      </c>
      <c r="H66" s="34">
        <f>+F66+E66</f>
        <v>-2202273.92</v>
      </c>
      <c r="I66" s="38"/>
      <c r="J66" s="38"/>
      <c r="K66" s="29"/>
      <c r="L66" s="19"/>
      <c r="M66" s="22"/>
      <c r="N66" s="22"/>
      <c r="O66" s="22"/>
      <c r="P66" s="22"/>
      <c r="Q66" s="22"/>
      <c r="R66" s="34"/>
      <c r="V66" s="29"/>
      <c r="AA66" s="19" t="s">
        <v>137</v>
      </c>
      <c r="AB66" s="22">
        <f t="shared" si="15"/>
        <v>-277595.18</v>
      </c>
      <c r="AC66" s="22">
        <f t="shared" si="16"/>
        <v>0</v>
      </c>
      <c r="AD66" s="22">
        <f t="shared" si="17"/>
        <v>-8927.1200000000008</v>
      </c>
      <c r="AE66" s="22">
        <f t="shared" si="18"/>
        <v>-286522.3</v>
      </c>
      <c r="AF66" s="22">
        <f t="shared" si="19"/>
        <v>-1915751.62</v>
      </c>
    </row>
    <row r="67" spans="1:32">
      <c r="A67" s="27" t="s">
        <v>140</v>
      </c>
      <c r="B67" s="22">
        <v>1443821.8</v>
      </c>
      <c r="C67" s="22"/>
      <c r="D67" s="22"/>
      <c r="E67" s="22">
        <f t="shared" si="13"/>
        <v>1443821.8</v>
      </c>
      <c r="F67" s="22">
        <v>14832946</v>
      </c>
      <c r="H67" s="34">
        <f>+F67+E67</f>
        <v>16276767.800000001</v>
      </c>
      <c r="I67" s="38"/>
      <c r="J67" s="38"/>
      <c r="K67" s="29">
        <f>+J67-I67</f>
        <v>0</v>
      </c>
      <c r="L67" s="27" t="s">
        <v>140</v>
      </c>
      <c r="M67" s="22"/>
      <c r="N67" s="22"/>
      <c r="O67" s="22"/>
      <c r="P67" s="22">
        <f>SUM(M67:O67)</f>
        <v>0</v>
      </c>
      <c r="Q67" s="22"/>
      <c r="R67" s="34"/>
      <c r="V67" s="29"/>
      <c r="AA67" s="27" t="s">
        <v>140</v>
      </c>
      <c r="AB67" s="22">
        <f t="shared" si="15"/>
        <v>1443821.8</v>
      </c>
      <c r="AC67" s="22">
        <f t="shared" si="16"/>
        <v>0</v>
      </c>
      <c r="AD67" s="22">
        <f t="shared" si="17"/>
        <v>0</v>
      </c>
      <c r="AE67" s="22">
        <f t="shared" si="18"/>
        <v>1443821.8</v>
      </c>
      <c r="AF67" s="22">
        <f t="shared" si="19"/>
        <v>14832946</v>
      </c>
    </row>
    <row r="68" spans="1:32">
      <c r="A68" s="27" t="s">
        <v>141</v>
      </c>
      <c r="B68" s="22">
        <v>-2903867</v>
      </c>
      <c r="C68" s="22">
        <v>0</v>
      </c>
      <c r="D68" s="22">
        <v>0</v>
      </c>
      <c r="E68" s="22">
        <f t="shared" si="13"/>
        <v>-2903867</v>
      </c>
      <c r="F68" s="22">
        <v>-1925939</v>
      </c>
      <c r="G68" s="31"/>
      <c r="H68" s="31">
        <f>+E68+F68</f>
        <v>-4829806</v>
      </c>
      <c r="I68" s="52"/>
      <c r="J68" s="52"/>
      <c r="K68" s="52"/>
      <c r="L68" s="27" t="s">
        <v>141</v>
      </c>
      <c r="M68" s="22"/>
      <c r="N68" s="22">
        <v>0</v>
      </c>
      <c r="O68" s="22">
        <v>0</v>
      </c>
      <c r="P68" s="22">
        <f>SUM(M68:O68)</f>
        <v>0</v>
      </c>
      <c r="Q68" s="22"/>
      <c r="R68" s="22">
        <f>+P68+Q68</f>
        <v>0</v>
      </c>
      <c r="AA68" s="27" t="s">
        <v>141</v>
      </c>
      <c r="AB68" s="22">
        <f t="shared" si="15"/>
        <v>-2903867</v>
      </c>
      <c r="AC68" s="22">
        <f t="shared" si="16"/>
        <v>0</v>
      </c>
      <c r="AD68" s="22">
        <f t="shared" si="17"/>
        <v>0</v>
      </c>
      <c r="AE68" s="22">
        <f t="shared" si="18"/>
        <v>-2903867</v>
      </c>
      <c r="AF68" s="22">
        <f t="shared" si="19"/>
        <v>-1925939</v>
      </c>
    </row>
    <row r="69" spans="1:32" ht="13.5" thickBot="1">
      <c r="A69" s="33" t="s">
        <v>31</v>
      </c>
      <c r="B69" s="57">
        <f t="shared" ref="B69:I69" si="20">SUM(B60:B68)</f>
        <v>9875388.2900000028</v>
      </c>
      <c r="C69" s="57">
        <f t="shared" si="20"/>
        <v>62703.17</v>
      </c>
      <c r="D69" s="57">
        <f t="shared" si="20"/>
        <v>-1761087</v>
      </c>
      <c r="E69" s="57">
        <f t="shared" si="20"/>
        <v>8177004.4600000009</v>
      </c>
      <c r="F69" s="57">
        <f>SUM(F60:F68)</f>
        <v>63336594.360000007</v>
      </c>
      <c r="G69" s="58"/>
      <c r="H69" s="58">
        <f t="shared" si="20"/>
        <v>71513598.820000023</v>
      </c>
      <c r="I69" s="58">
        <f t="shared" si="20"/>
        <v>71513598.820000008</v>
      </c>
      <c r="J69" s="59">
        <f>SUM(J60:J68)</f>
        <v>71513598.820000023</v>
      </c>
      <c r="K69" s="29"/>
      <c r="L69" s="19" t="s">
        <v>31</v>
      </c>
      <c r="M69" s="57">
        <f t="shared" ref="M69:R69" si="21">SUM(M60:M68)</f>
        <v>-822685.99000000011</v>
      </c>
      <c r="N69" s="57">
        <f t="shared" si="21"/>
        <v>-1546.11</v>
      </c>
      <c r="O69" s="57">
        <f t="shared" si="21"/>
        <v>-1084.8800000000001</v>
      </c>
      <c r="P69" s="57">
        <f t="shared" si="21"/>
        <v>-825316.9800000001</v>
      </c>
      <c r="Q69" s="57">
        <f t="shared" si="21"/>
        <v>-460216.66100000002</v>
      </c>
      <c r="R69" s="57">
        <f t="shared" si="21"/>
        <v>-1285533.6410000001</v>
      </c>
      <c r="AA69" s="33" t="s">
        <v>31</v>
      </c>
      <c r="AB69" s="57">
        <f t="shared" ref="AB69:AE69" si="22">SUM(AB60:AB68)</f>
        <v>10698074.270000001</v>
      </c>
      <c r="AC69" s="57">
        <f t="shared" si="22"/>
        <v>64249.270000000004</v>
      </c>
      <c r="AD69" s="57">
        <f t="shared" si="22"/>
        <v>-1760002.13</v>
      </c>
      <c r="AE69" s="57">
        <f t="shared" si="22"/>
        <v>9002321.410000002</v>
      </c>
      <c r="AF69" s="57">
        <f>SUM(AF60:AF68)</f>
        <v>63796811.039999999</v>
      </c>
    </row>
    <row r="70" spans="1:32" ht="13.5" thickTop="1">
      <c r="A70" s="19"/>
      <c r="B70" s="22"/>
      <c r="C70" s="22"/>
      <c r="D70" s="22"/>
      <c r="E70" s="60" t="s">
        <v>61</v>
      </c>
      <c r="F70" s="22">
        <f>+F10</f>
        <v>199227092.09</v>
      </c>
      <c r="K70" s="29"/>
      <c r="L70" s="19"/>
      <c r="M70" s="22"/>
      <c r="N70" s="22"/>
      <c r="O70" s="22"/>
      <c r="P70" s="60" t="s">
        <v>61</v>
      </c>
      <c r="Q70" s="22">
        <f>+Q10</f>
        <v>4317712.4800000004</v>
      </c>
      <c r="AA70" s="19"/>
      <c r="AB70" s="22"/>
      <c r="AC70" s="22"/>
      <c r="AD70" s="22"/>
      <c r="AE70" s="60" t="s">
        <v>61</v>
      </c>
      <c r="AF70" s="22">
        <f>+AF10</f>
        <v>194909379.61000001</v>
      </c>
    </row>
    <row r="71" spans="1:32">
      <c r="A71" s="19" t="s">
        <v>56</v>
      </c>
      <c r="B71" s="22"/>
      <c r="C71" s="22"/>
      <c r="D71" s="22"/>
      <c r="E71" s="60" t="s">
        <v>60</v>
      </c>
      <c r="F71" s="31">
        <f>+F69+E69</f>
        <v>71513598.820000008</v>
      </c>
      <c r="G71" s="61">
        <f>+F71/F70</f>
        <v>0.35895519063087084</v>
      </c>
      <c r="H71" s="24" t="s">
        <v>62</v>
      </c>
      <c r="I71" s="24" t="s">
        <v>62</v>
      </c>
      <c r="J71" s="24" t="s">
        <v>62</v>
      </c>
      <c r="L71" s="19" t="s">
        <v>56</v>
      </c>
      <c r="M71" s="22"/>
      <c r="N71" s="22"/>
      <c r="O71" s="22"/>
      <c r="P71" s="60" t="s">
        <v>60</v>
      </c>
      <c r="Q71" s="31">
        <f>+Q69+P69</f>
        <v>-1285533.6410000001</v>
      </c>
      <c r="R71" s="61">
        <f>+Q71/Q70</f>
        <v>-0.29773488784968838</v>
      </c>
      <c r="AA71" s="19" t="s">
        <v>56</v>
      </c>
      <c r="AB71" s="22"/>
      <c r="AC71" s="22"/>
      <c r="AD71" s="22"/>
      <c r="AE71" s="60" t="s">
        <v>60</v>
      </c>
      <c r="AF71" s="31">
        <f>+AF69+AE69</f>
        <v>72799132.450000003</v>
      </c>
    </row>
    <row r="72" spans="1:32" ht="13.5" thickBot="1">
      <c r="A72" s="33" t="s">
        <v>129</v>
      </c>
      <c r="B72" s="22"/>
      <c r="C72" s="22"/>
      <c r="D72" s="22"/>
      <c r="E72" s="22" t="s">
        <v>59</v>
      </c>
      <c r="F72" s="57">
        <f>+F70+-F71</f>
        <v>127713493.27</v>
      </c>
      <c r="H72" s="22">
        <f>+H69-F71</f>
        <v>0</v>
      </c>
      <c r="I72" s="29">
        <f>+I69-H69</f>
        <v>0</v>
      </c>
      <c r="J72" s="29">
        <f>+J69-H69</f>
        <v>0</v>
      </c>
      <c r="M72" s="22"/>
      <c r="N72" s="22"/>
      <c r="O72" s="22"/>
      <c r="P72" s="22" t="s">
        <v>59</v>
      </c>
      <c r="Q72" s="57">
        <f>+Q70-Q71</f>
        <v>5603246.1210000003</v>
      </c>
      <c r="R72" s="29"/>
      <c r="AA72" s="33" t="s">
        <v>129</v>
      </c>
      <c r="AB72" s="22"/>
      <c r="AC72" s="22"/>
      <c r="AD72" s="22"/>
      <c r="AE72" s="22" t="s">
        <v>59</v>
      </c>
      <c r="AF72" s="57">
        <f>+AF70+-AF71</f>
        <v>122110247.16000001</v>
      </c>
    </row>
    <row r="73" spans="1:32" ht="13.5" thickTop="1">
      <c r="A73" s="19" t="s">
        <v>130</v>
      </c>
      <c r="B73" s="22" t="s">
        <v>133</v>
      </c>
      <c r="C73" s="22"/>
      <c r="D73" s="22"/>
      <c r="E73" s="22"/>
      <c r="H73" s="22">
        <f>+H69-F71</f>
        <v>0</v>
      </c>
      <c r="L73" s="33" t="s">
        <v>129</v>
      </c>
      <c r="M73" s="22"/>
      <c r="N73" s="22"/>
      <c r="O73" s="22"/>
      <c r="AA73" s="19" t="s">
        <v>130</v>
      </c>
      <c r="AB73" s="22" t="s">
        <v>133</v>
      </c>
      <c r="AC73" s="22"/>
      <c r="AD73" s="22"/>
      <c r="AE73" s="22"/>
      <c r="AF73" s="22"/>
    </row>
    <row r="74" spans="1:32">
      <c r="A74" s="19" t="s">
        <v>131</v>
      </c>
      <c r="B74" s="22"/>
      <c r="C74" s="22"/>
      <c r="D74" s="22"/>
      <c r="H74" s="38" t="s">
        <v>209</v>
      </c>
      <c r="I74" s="29">
        <f>+F71-Q71</f>
        <v>72799132.46100001</v>
      </c>
      <c r="L74" s="19" t="s">
        <v>131</v>
      </c>
      <c r="M74" s="22"/>
      <c r="N74" s="22"/>
      <c r="O74" s="22"/>
      <c r="AA74" s="19" t="s">
        <v>131</v>
      </c>
      <c r="AB74" s="22"/>
      <c r="AC74" s="22"/>
      <c r="AD74" s="22"/>
      <c r="AE74" s="44"/>
      <c r="AF74" s="22"/>
    </row>
    <row r="75" spans="1:32">
      <c r="A75" s="19" t="s">
        <v>132</v>
      </c>
      <c r="H75" s="22"/>
      <c r="I75" s="29"/>
      <c r="J75" s="29"/>
      <c r="L75" s="19" t="s">
        <v>132</v>
      </c>
      <c r="M75" s="31" t="s">
        <v>134</v>
      </c>
      <c r="N75" s="31"/>
      <c r="O75" s="31"/>
      <c r="AA75" s="19" t="s">
        <v>132</v>
      </c>
      <c r="AB75" s="44"/>
      <c r="AC75" s="44"/>
      <c r="AD75" s="44"/>
      <c r="AE75" s="44"/>
      <c r="AF75" s="22"/>
    </row>
    <row r="76" spans="1:32">
      <c r="A76" s="19"/>
      <c r="B76" s="31" t="s">
        <v>134</v>
      </c>
      <c r="C76" s="31"/>
      <c r="D76" s="31"/>
      <c r="H76" s="22"/>
      <c r="I76" s="29"/>
      <c r="J76" s="29"/>
      <c r="AA76" s="19"/>
      <c r="AB76" s="31" t="s">
        <v>134</v>
      </c>
      <c r="AC76" s="31"/>
      <c r="AD76" s="31"/>
      <c r="AE76" s="44"/>
      <c r="AF76" s="22"/>
    </row>
    <row r="77" spans="1:32">
      <c r="B77" s="29"/>
      <c r="C77" s="29"/>
      <c r="D77" s="29"/>
      <c r="E77" s="29"/>
      <c r="F77" s="29"/>
      <c r="H77" s="22"/>
      <c r="I77" s="29"/>
      <c r="J77" s="29"/>
      <c r="M77" s="29"/>
      <c r="N77" s="29"/>
      <c r="O77" s="29"/>
      <c r="P77" s="29"/>
      <c r="Q77" s="29"/>
      <c r="AB77" s="29"/>
      <c r="AC77" s="29"/>
      <c r="AD77" s="29"/>
      <c r="AE77" s="29"/>
      <c r="AF77" s="29"/>
    </row>
    <row r="78" spans="1:32" s="19" customFormat="1">
      <c r="B78" s="44"/>
      <c r="C78" s="44"/>
      <c r="D78" s="44"/>
      <c r="E78" s="44"/>
      <c r="F78" s="44"/>
      <c r="G78" s="22"/>
      <c r="H78" s="22"/>
      <c r="I78" s="38"/>
      <c r="J78" s="38"/>
      <c r="M78" s="44"/>
      <c r="N78" s="44"/>
      <c r="O78" s="44"/>
      <c r="P78" s="44"/>
      <c r="Q78" s="44"/>
      <c r="AB78" s="44"/>
      <c r="AC78" s="44"/>
      <c r="AD78" s="44"/>
      <c r="AE78" s="44"/>
      <c r="AF78" s="44"/>
    </row>
    <row r="79" spans="1:32" s="19" customFormat="1">
      <c r="E79" s="22"/>
      <c r="F79" s="22"/>
      <c r="G79" s="22"/>
      <c r="H79" s="22"/>
      <c r="I79" s="38"/>
      <c r="J79" s="38"/>
      <c r="M79" s="22"/>
      <c r="N79" s="22"/>
      <c r="O79" s="22"/>
      <c r="P79" s="22"/>
      <c r="AE79" s="21"/>
      <c r="AF79" s="22"/>
    </row>
    <row r="80" spans="1:32" s="19" customFormat="1">
      <c r="E80" s="22"/>
      <c r="F80" s="22"/>
      <c r="G80" s="22"/>
      <c r="M80" s="22"/>
      <c r="N80" s="22"/>
      <c r="O80" s="22"/>
      <c r="P80" s="22"/>
      <c r="Q80" s="22"/>
      <c r="AE80" s="21"/>
      <c r="AF80" s="22"/>
    </row>
    <row r="81" spans="1:32" s="19" customFormat="1">
      <c r="B81" s="22"/>
      <c r="C81" s="22"/>
      <c r="D81" s="22"/>
      <c r="E81" s="22"/>
      <c r="F81" s="22"/>
      <c r="G81" s="22"/>
      <c r="M81" s="22"/>
      <c r="N81" s="22"/>
      <c r="O81" s="22"/>
      <c r="P81" s="22"/>
      <c r="Q81" s="22"/>
      <c r="AE81" s="21"/>
      <c r="AF81" s="22"/>
    </row>
    <row r="82" spans="1:32" s="19" customFormat="1">
      <c r="B82" s="22"/>
      <c r="C82" s="22"/>
      <c r="D82" s="22"/>
      <c r="E82" s="22"/>
      <c r="F82" s="39"/>
      <c r="G82" s="22"/>
      <c r="M82" s="22"/>
      <c r="N82" s="22"/>
      <c r="O82" s="22"/>
      <c r="P82" s="22"/>
      <c r="Q82" s="39"/>
      <c r="AE82" s="21"/>
      <c r="AF82" s="22"/>
    </row>
    <row r="83" spans="1:32" s="19" customFormat="1">
      <c r="C83" s="22"/>
      <c r="D83" s="22"/>
      <c r="F83" s="22"/>
      <c r="G83" s="22"/>
      <c r="H83" s="22"/>
      <c r="I83" s="38"/>
      <c r="J83" s="38"/>
      <c r="M83" s="22"/>
      <c r="N83" s="22"/>
      <c r="O83" s="22"/>
      <c r="P83" s="22"/>
      <c r="Q83" s="22"/>
      <c r="AE83" s="21"/>
      <c r="AF83" s="22"/>
    </row>
    <row r="84" spans="1:32" s="19" customFormat="1">
      <c r="B84" s="22"/>
      <c r="C84" s="22"/>
      <c r="D84" s="22"/>
      <c r="F84" s="62"/>
      <c r="G84" s="22"/>
      <c r="H84" s="22"/>
      <c r="I84" s="38"/>
      <c r="J84" s="38"/>
      <c r="M84" s="22"/>
      <c r="N84" s="22"/>
      <c r="O84" s="22"/>
      <c r="P84" s="22"/>
      <c r="Q84" s="22"/>
      <c r="AE84" s="21"/>
      <c r="AF84" s="22"/>
    </row>
    <row r="85" spans="1:32" s="19" customFormat="1">
      <c r="C85" s="22"/>
      <c r="D85" s="22"/>
      <c r="F85" s="62"/>
      <c r="G85" s="22"/>
      <c r="M85" s="22"/>
      <c r="N85" s="22"/>
      <c r="O85" s="22"/>
      <c r="P85" s="22"/>
      <c r="Q85" s="22"/>
      <c r="AE85" s="21"/>
      <c r="AF85" s="22"/>
    </row>
    <row r="86" spans="1:32" s="19" customFormat="1">
      <c r="B86" s="39"/>
      <c r="C86" s="22"/>
      <c r="D86" s="22"/>
      <c r="F86" s="22"/>
      <c r="G86" s="22"/>
      <c r="M86" s="22"/>
      <c r="N86" s="22"/>
      <c r="O86" s="22"/>
      <c r="P86" s="22"/>
      <c r="Q86" s="22"/>
      <c r="AE86" s="21"/>
      <c r="AF86" s="22"/>
    </row>
    <row r="87" spans="1:32" s="19" customFormat="1">
      <c r="C87" s="22"/>
      <c r="D87" s="22"/>
      <c r="E87" s="21"/>
      <c r="F87" s="22"/>
      <c r="G87" s="22"/>
      <c r="M87" s="22"/>
      <c r="N87" s="22"/>
      <c r="O87" s="22"/>
      <c r="P87" s="22"/>
      <c r="Q87" s="22"/>
      <c r="AE87" s="21"/>
      <c r="AF87" s="22"/>
    </row>
    <row r="88" spans="1:32" s="19" customFormat="1">
      <c r="C88" s="22"/>
      <c r="D88" s="22"/>
      <c r="E88" s="21"/>
      <c r="F88" s="22"/>
      <c r="G88" s="22"/>
      <c r="M88" s="22"/>
      <c r="N88" s="22"/>
      <c r="O88" s="22"/>
      <c r="P88" s="22"/>
      <c r="Q88" s="22"/>
      <c r="AE88" s="21"/>
      <c r="AF88" s="22"/>
    </row>
    <row r="89" spans="1:32" s="19" customFormat="1">
      <c r="A89" s="21"/>
      <c r="B89" s="42"/>
      <c r="C89" s="42"/>
      <c r="D89" s="41"/>
      <c r="E89" s="63"/>
      <c r="F89" s="42"/>
      <c r="G89" s="22"/>
      <c r="M89" s="22"/>
      <c r="N89" s="22"/>
      <c r="O89" s="22"/>
      <c r="P89" s="22"/>
      <c r="Q89" s="22"/>
      <c r="AE89" s="21"/>
      <c r="AF89" s="22"/>
    </row>
    <row r="90" spans="1:32" s="19" customFormat="1">
      <c r="A90" s="21"/>
      <c r="B90" s="22"/>
      <c r="C90" s="22"/>
      <c r="D90" s="22"/>
      <c r="E90" s="21"/>
      <c r="F90" s="22"/>
      <c r="G90" s="22"/>
      <c r="M90" s="22"/>
      <c r="N90" s="22"/>
      <c r="O90" s="22"/>
      <c r="P90" s="22"/>
      <c r="Q90" s="22"/>
      <c r="AE90" s="21"/>
      <c r="AF90" s="22"/>
    </row>
    <row r="91" spans="1:32" s="19" customFormat="1">
      <c r="A91" s="21"/>
      <c r="B91" s="22"/>
      <c r="C91" s="22"/>
      <c r="D91" s="22"/>
      <c r="E91" s="21"/>
      <c r="F91" s="22"/>
      <c r="G91" s="22"/>
      <c r="M91" s="22"/>
      <c r="N91" s="22"/>
      <c r="O91" s="22"/>
      <c r="P91" s="22"/>
      <c r="Q91" s="22"/>
      <c r="AE91" s="21"/>
      <c r="AF91" s="22"/>
    </row>
    <row r="92" spans="1:32" s="19" customFormat="1">
      <c r="A92" s="21"/>
      <c r="B92" s="22"/>
      <c r="C92" s="22"/>
      <c r="D92" s="22"/>
      <c r="E92" s="22"/>
      <c r="F92" s="22"/>
      <c r="G92" s="22"/>
      <c r="M92" s="22"/>
      <c r="N92" s="22"/>
      <c r="O92" s="22"/>
      <c r="P92" s="22"/>
      <c r="Q92" s="22"/>
    </row>
    <row r="93" spans="1:32" s="19" customFormat="1">
      <c r="B93" s="21"/>
      <c r="C93" s="21"/>
      <c r="D93" s="21"/>
      <c r="E93" s="21"/>
      <c r="F93" s="22"/>
      <c r="G93" s="22"/>
      <c r="M93" s="22"/>
      <c r="N93" s="22"/>
      <c r="O93" s="22"/>
      <c r="P93" s="22"/>
      <c r="Q93" s="22"/>
    </row>
    <row r="94" spans="1:32" s="19" customFormat="1">
      <c r="B94" s="21"/>
      <c r="C94" s="21"/>
      <c r="D94" s="21"/>
      <c r="E94" s="21"/>
      <c r="F94" s="22"/>
      <c r="G94" s="22"/>
      <c r="M94" s="22"/>
      <c r="N94" s="22"/>
      <c r="O94" s="22"/>
      <c r="P94" s="22"/>
      <c r="Q94" s="22"/>
    </row>
    <row r="95" spans="1:32" s="19" customFormat="1">
      <c r="B95" s="21"/>
      <c r="C95" s="21"/>
      <c r="D95" s="21"/>
      <c r="E95" s="21"/>
      <c r="F95" s="22"/>
      <c r="G95" s="22"/>
      <c r="M95" s="22"/>
      <c r="N95" s="22"/>
      <c r="O95" s="22"/>
      <c r="P95" s="22"/>
      <c r="Q95" s="22"/>
    </row>
    <row r="97" spans="3:4">
      <c r="C97" s="34"/>
      <c r="D97" s="34"/>
    </row>
  </sheetData>
  <phoneticPr fontId="3" type="noConversion"/>
  <pageMargins left="0.75" right="0.25" top="0.25" bottom="0.5" header="0.5" footer="0.25"/>
  <pageSetup scale="64" orientation="portrait" r:id="rId1"/>
  <headerFooter alignWithMargins="0">
    <oddFooter>&amp;L&amp;10&amp;F\&amp;A&amp;R&amp;10&amp;D &amp;T</oddFooter>
  </headerFooter>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R34"/>
  <sheetViews>
    <sheetView zoomScale="90" zoomScaleNormal="90" workbookViewId="0">
      <selection activeCell="B7" sqref="B7"/>
    </sheetView>
  </sheetViews>
  <sheetFormatPr defaultColWidth="8" defaultRowHeight="12.75"/>
  <cols>
    <col min="1" max="1" width="10" style="5" customWidth="1"/>
    <col min="2" max="2" width="29.875" style="5" customWidth="1"/>
    <col min="3" max="3" width="13.875" style="6" customWidth="1"/>
    <col min="4" max="4" width="12.375" style="6" customWidth="1"/>
    <col min="5" max="5" width="13.875" style="6" customWidth="1"/>
    <col min="6" max="9" width="8" style="5" customWidth="1"/>
    <col min="10" max="10" width="13.125" style="5" customWidth="1"/>
    <col min="11" max="11" width="13" style="5" customWidth="1"/>
    <col min="12" max="12" width="12.125" style="5" customWidth="1"/>
    <col min="13" max="13" width="11.5" style="5" customWidth="1"/>
    <col min="14" max="14" width="29.75" style="5" customWidth="1"/>
    <col min="15" max="15" width="15.25" style="6" customWidth="1"/>
    <col min="16" max="16" width="16.375" style="6" customWidth="1"/>
    <col min="17" max="17" width="12.75" style="6" bestFit="1" customWidth="1"/>
    <col min="18" max="16384" width="8" style="5"/>
  </cols>
  <sheetData>
    <row r="1" spans="1:18" s="2" customFormat="1" ht="38.25">
      <c r="A1" s="1" t="s">
        <v>81</v>
      </c>
      <c r="B1" s="2" t="s">
        <v>82</v>
      </c>
      <c r="C1" s="3" t="s">
        <v>203</v>
      </c>
      <c r="D1" s="3" t="s">
        <v>201</v>
      </c>
      <c r="E1" s="3" t="s">
        <v>74</v>
      </c>
      <c r="F1" s="2" t="s">
        <v>83</v>
      </c>
      <c r="H1" s="2" t="s">
        <v>171</v>
      </c>
      <c r="J1" s="3" t="s">
        <v>142</v>
      </c>
      <c r="K1" s="2" t="s">
        <v>143</v>
      </c>
      <c r="M1" s="2" t="s">
        <v>81</v>
      </c>
      <c r="N1" s="2" t="s">
        <v>82</v>
      </c>
      <c r="O1" s="3" t="s">
        <v>203</v>
      </c>
      <c r="P1" s="3" t="s">
        <v>201</v>
      </c>
      <c r="Q1" s="3" t="s">
        <v>74</v>
      </c>
      <c r="R1" s="2" t="s">
        <v>83</v>
      </c>
    </row>
    <row r="2" spans="1:18">
      <c r="A2" s="4" t="s">
        <v>84</v>
      </c>
      <c r="B2" s="5" t="s">
        <v>85</v>
      </c>
      <c r="C2" s="6">
        <v>0</v>
      </c>
      <c r="D2" s="6">
        <v>0</v>
      </c>
      <c r="E2" s="6">
        <f>+C2-D2</f>
        <v>0</v>
      </c>
      <c r="F2" s="7"/>
      <c r="H2" s="4" t="s">
        <v>172</v>
      </c>
      <c r="J2" s="6">
        <v>0</v>
      </c>
      <c r="K2" s="6">
        <f>C2-J2</f>
        <v>0</v>
      </c>
      <c r="L2" s="6"/>
      <c r="M2" s="5" t="s">
        <v>172</v>
      </c>
      <c r="N2" s="5" t="s">
        <v>175</v>
      </c>
      <c r="O2" s="6">
        <v>-1539444</v>
      </c>
      <c r="P2" s="6">
        <v>-1411157</v>
      </c>
      <c r="Q2" s="6">
        <v>-128287</v>
      </c>
      <c r="R2" s="5">
        <v>9.0909090909090898E-2</v>
      </c>
    </row>
    <row r="3" spans="1:18">
      <c r="A3" s="4" t="s">
        <v>86</v>
      </c>
      <c r="B3" s="5" t="s">
        <v>87</v>
      </c>
      <c r="C3" s="6">
        <v>0</v>
      </c>
      <c r="D3" s="6">
        <v>0</v>
      </c>
      <c r="E3" s="6">
        <f t="shared" ref="E3:E11" si="0">+C3-D3</f>
        <v>0</v>
      </c>
      <c r="F3" s="7"/>
      <c r="H3" s="4" t="s">
        <v>173</v>
      </c>
      <c r="J3" s="6">
        <v>0</v>
      </c>
      <c r="K3" s="6">
        <f t="shared" ref="K3:K11" si="1">C3-J3</f>
        <v>0</v>
      </c>
      <c r="L3" s="6"/>
      <c r="M3" s="5" t="s">
        <v>173</v>
      </c>
      <c r="N3" s="5" t="s">
        <v>176</v>
      </c>
      <c r="O3" s="6">
        <v>-4356</v>
      </c>
      <c r="P3" s="6">
        <v>-3993</v>
      </c>
      <c r="Q3" s="6">
        <v>-363</v>
      </c>
      <c r="R3" s="5">
        <v>9.0909090909090898E-2</v>
      </c>
    </row>
    <row r="4" spans="1:18">
      <c r="A4" s="4" t="s">
        <v>172</v>
      </c>
      <c r="B4" s="5" t="s">
        <v>175</v>
      </c>
      <c r="C4" s="6">
        <v>-1539444</v>
      </c>
      <c r="D4" s="6">
        <v>-1411157</v>
      </c>
      <c r="E4" s="6">
        <f t="shared" si="0"/>
        <v>-128287</v>
      </c>
      <c r="F4" s="7">
        <f t="shared" ref="F4:F12" si="2">+E4/D4</f>
        <v>9.0909090909090912E-2</v>
      </c>
      <c r="H4" s="4"/>
      <c r="J4" s="6">
        <v>-1539444</v>
      </c>
      <c r="K4" s="6">
        <f t="shared" si="1"/>
        <v>0</v>
      </c>
      <c r="L4" s="6"/>
      <c r="M4" s="5" t="s">
        <v>174</v>
      </c>
      <c r="N4" s="5" t="s">
        <v>194</v>
      </c>
      <c r="O4" s="6">
        <v>0</v>
      </c>
      <c r="P4" s="6">
        <v>0</v>
      </c>
      <c r="Q4" s="6">
        <v>0</v>
      </c>
      <c r="R4" s="5">
        <v>0</v>
      </c>
    </row>
    <row r="5" spans="1:18">
      <c r="A5" s="4" t="s">
        <v>173</v>
      </c>
      <c r="B5" s="5" t="s">
        <v>176</v>
      </c>
      <c r="C5" s="6">
        <v>-4356</v>
      </c>
      <c r="D5" s="6">
        <v>-3993</v>
      </c>
      <c r="E5" s="6">
        <f t="shared" si="0"/>
        <v>-363</v>
      </c>
      <c r="F5" s="7">
        <f t="shared" si="2"/>
        <v>9.0909090909090912E-2</v>
      </c>
      <c r="H5" s="4"/>
      <c r="J5" s="6">
        <v>-4356</v>
      </c>
      <c r="K5" s="6">
        <f t="shared" si="1"/>
        <v>0</v>
      </c>
      <c r="L5" s="6"/>
      <c r="M5" s="6" t="s">
        <v>170</v>
      </c>
      <c r="N5" s="5" t="s">
        <v>177</v>
      </c>
      <c r="O5" s="6">
        <v>-7212816.3499999996</v>
      </c>
      <c r="P5" s="6">
        <v>-6542489.3499999996</v>
      </c>
      <c r="Q5" s="6">
        <v>-670327</v>
      </c>
      <c r="R5" s="5">
        <v>0.102457484321316</v>
      </c>
    </row>
    <row r="6" spans="1:18">
      <c r="A6" s="4" t="s">
        <v>80</v>
      </c>
      <c r="B6" s="5" t="s">
        <v>88</v>
      </c>
      <c r="C6" s="6">
        <v>0</v>
      </c>
      <c r="D6" s="6">
        <v>0</v>
      </c>
      <c r="E6" s="6">
        <f t="shared" si="0"/>
        <v>0</v>
      </c>
      <c r="F6" s="7"/>
      <c r="H6" s="4" t="s">
        <v>174</v>
      </c>
      <c r="I6" s="8"/>
      <c r="J6" s="6">
        <v>0</v>
      </c>
      <c r="K6" s="6">
        <f t="shared" si="1"/>
        <v>0</v>
      </c>
      <c r="L6" s="6"/>
      <c r="M6" s="5" t="s">
        <v>90</v>
      </c>
      <c r="N6" s="5" t="s">
        <v>50</v>
      </c>
      <c r="O6" s="6">
        <f>SUM(O17:O18)</f>
        <v>126152.5</v>
      </c>
      <c r="P6" s="6">
        <f t="shared" ref="P6:Q6" si="3">SUM(P17:P18)</f>
        <v>126094.6</v>
      </c>
      <c r="Q6" s="6">
        <f t="shared" si="3"/>
        <v>57.900000000001498</v>
      </c>
      <c r="R6" s="5">
        <v>0</v>
      </c>
    </row>
    <row r="7" spans="1:18">
      <c r="A7" s="4" t="s">
        <v>55</v>
      </c>
      <c r="B7" s="5" t="s">
        <v>89</v>
      </c>
      <c r="C7" s="6">
        <v>0</v>
      </c>
      <c r="D7" s="6">
        <v>0</v>
      </c>
      <c r="E7" s="6">
        <f t="shared" si="0"/>
        <v>0</v>
      </c>
      <c r="F7" s="7"/>
      <c r="H7" s="4" t="s">
        <v>170</v>
      </c>
      <c r="J7" s="6">
        <v>0</v>
      </c>
      <c r="K7" s="6">
        <f t="shared" si="1"/>
        <v>0</v>
      </c>
      <c r="L7" s="6"/>
      <c r="M7" s="5" t="s">
        <v>91</v>
      </c>
      <c r="N7" s="5" t="s">
        <v>195</v>
      </c>
      <c r="O7" s="6">
        <v>-485267.95</v>
      </c>
      <c r="P7" s="6">
        <v>-459229.23</v>
      </c>
      <c r="Q7" s="6">
        <v>-26038.720000000001</v>
      </c>
      <c r="R7" s="5">
        <v>5.6700920366066498E-2</v>
      </c>
    </row>
    <row r="8" spans="1:18">
      <c r="A8" s="4" t="s">
        <v>170</v>
      </c>
      <c r="B8" s="5" t="s">
        <v>177</v>
      </c>
      <c r="C8" s="6">
        <v>-7212816.3499999996</v>
      </c>
      <c r="D8" s="6">
        <v>-6542489.3499999996</v>
      </c>
      <c r="E8" s="6">
        <f t="shared" si="0"/>
        <v>-670327</v>
      </c>
      <c r="F8" s="7">
        <f t="shared" si="2"/>
        <v>0.10245748432131571</v>
      </c>
      <c r="H8" s="4"/>
      <c r="J8" s="6">
        <v>-6541450.9199999999</v>
      </c>
      <c r="K8" s="6">
        <f t="shared" si="1"/>
        <v>-671365.4299999997</v>
      </c>
      <c r="L8" s="6"/>
      <c r="M8" s="5" t="s">
        <v>204</v>
      </c>
      <c r="N8" s="5" t="s">
        <v>205</v>
      </c>
      <c r="O8" s="6">
        <v>-518410.05</v>
      </c>
      <c r="P8" s="6">
        <v>-460808.94</v>
      </c>
      <c r="Q8" s="6">
        <v>-57601.11</v>
      </c>
      <c r="R8" s="5">
        <v>0.124999983724274</v>
      </c>
    </row>
    <row r="9" spans="1:18">
      <c r="A9" s="4" t="s">
        <v>90</v>
      </c>
      <c r="B9" s="5" t="s">
        <v>50</v>
      </c>
      <c r="C9" s="6">
        <v>126152.5</v>
      </c>
      <c r="D9" s="6">
        <v>126094.6</v>
      </c>
      <c r="E9" s="6">
        <f t="shared" si="0"/>
        <v>57.899999999994179</v>
      </c>
      <c r="F9" s="7">
        <f t="shared" si="2"/>
        <v>4.5917906080033703E-4</v>
      </c>
      <c r="H9" s="4" t="s">
        <v>178</v>
      </c>
      <c r="J9" s="6">
        <v>126152.5</v>
      </c>
      <c r="K9" s="6">
        <f t="shared" si="1"/>
        <v>0</v>
      </c>
      <c r="L9" s="6"/>
      <c r="M9" s="5" t="s">
        <v>69</v>
      </c>
      <c r="N9" s="5" t="s">
        <v>69</v>
      </c>
      <c r="O9" s="6">
        <f>SUM(O2:O8)</f>
        <v>-9634141.8499999996</v>
      </c>
      <c r="P9" s="6">
        <f>SUM(P2:P8)</f>
        <v>-8751582.9199999999</v>
      </c>
      <c r="Q9" s="6">
        <f>SUM(Q2:Q8)</f>
        <v>-882558.92999999993</v>
      </c>
      <c r="R9" s="5">
        <v>3.8999604989113201E-2</v>
      </c>
    </row>
    <row r="10" spans="1:18">
      <c r="A10" s="4" t="s">
        <v>91</v>
      </c>
      <c r="B10" s="5" t="s">
        <v>92</v>
      </c>
      <c r="C10" s="6">
        <v>-485267.95</v>
      </c>
      <c r="D10" s="6">
        <v>-459229.23</v>
      </c>
      <c r="E10" s="6">
        <f t="shared" ref="E10" si="4">+C10-D10</f>
        <v>-26038.72000000003</v>
      </c>
      <c r="F10" s="7">
        <f t="shared" ref="F10" si="5">+E10/D10</f>
        <v>5.6700920366066485E-2</v>
      </c>
      <c r="H10" s="4" t="s">
        <v>178</v>
      </c>
      <c r="J10" s="6">
        <v>-485267.95</v>
      </c>
      <c r="K10" s="6">
        <f t="shared" ref="K10" si="6">C10-J10</f>
        <v>0</v>
      </c>
      <c r="L10" s="6"/>
      <c r="M10" s="6"/>
      <c r="N10" s="6"/>
      <c r="O10" s="6">
        <f>+O21-O9</f>
        <v>0</v>
      </c>
      <c r="P10" s="6">
        <f t="shared" ref="P10:Q10" si="7">+P21-P9</f>
        <v>0</v>
      </c>
      <c r="Q10" s="6">
        <f t="shared" si="7"/>
        <v>0</v>
      </c>
      <c r="R10" s="6"/>
    </row>
    <row r="11" spans="1:18">
      <c r="A11" s="4" t="s">
        <v>204</v>
      </c>
      <c r="B11" s="5" t="s">
        <v>205</v>
      </c>
      <c r="C11" s="6">
        <v>-518410.05</v>
      </c>
      <c r="D11" s="6">
        <v>-460808.94</v>
      </c>
      <c r="E11" s="6">
        <f t="shared" si="0"/>
        <v>-57601.109999999986</v>
      </c>
      <c r="F11" s="7">
        <f t="shared" si="2"/>
        <v>0.12499998372427407</v>
      </c>
      <c r="H11" s="4" t="s">
        <v>178</v>
      </c>
      <c r="J11" s="6">
        <v>-518410.05</v>
      </c>
      <c r="K11" s="6">
        <f t="shared" si="1"/>
        <v>0</v>
      </c>
      <c r="L11" s="6"/>
      <c r="M11" s="6"/>
      <c r="N11" s="6"/>
      <c r="R11" s="6"/>
    </row>
    <row r="12" spans="1:18">
      <c r="A12" s="4" t="s">
        <v>69</v>
      </c>
      <c r="B12" s="5" t="s">
        <v>69</v>
      </c>
      <c r="C12" s="6">
        <f>SUM(C2:C11)</f>
        <v>-9634141.8499999996</v>
      </c>
      <c r="D12" s="6">
        <f>SUM(D2:D11)</f>
        <v>-8751582.9199999999</v>
      </c>
      <c r="E12" s="6">
        <f t="shared" ref="E12" si="8">+C12-D12</f>
        <v>-882558.9299999997</v>
      </c>
      <c r="F12" s="7">
        <f t="shared" si="2"/>
        <v>0.10084563422042052</v>
      </c>
      <c r="H12" s="4"/>
      <c r="J12" s="6">
        <v>-8444366.3699999992</v>
      </c>
      <c r="K12" s="6">
        <f>SUM(K2:K11)</f>
        <v>-671365.4299999997</v>
      </c>
      <c r="M12" s="6" t="s">
        <v>81</v>
      </c>
      <c r="N12" s="6" t="s">
        <v>82</v>
      </c>
      <c r="O12" s="6" t="s">
        <v>203</v>
      </c>
      <c r="P12" s="6" t="s">
        <v>201</v>
      </c>
      <c r="Q12" s="6" t="s">
        <v>74</v>
      </c>
      <c r="R12" s="6" t="s">
        <v>83</v>
      </c>
    </row>
    <row r="13" spans="1:18" ht="39.75" customHeight="1">
      <c r="A13" s="4" t="s">
        <v>77</v>
      </c>
      <c r="J13" s="6"/>
      <c r="M13" s="5" t="s">
        <v>172</v>
      </c>
      <c r="N13" s="5" t="s">
        <v>175</v>
      </c>
      <c r="O13" s="6">
        <v>-1539444</v>
      </c>
      <c r="P13" s="6">
        <v>-1411157</v>
      </c>
      <c r="Q13" s="6">
        <v>-128287</v>
      </c>
      <c r="R13" s="5">
        <v>9.0909090909090898E-2</v>
      </c>
    </row>
    <row r="14" spans="1:18" s="9" customFormat="1" ht="15.75">
      <c r="A14" s="4" t="s">
        <v>77</v>
      </c>
      <c r="B14" s="5"/>
      <c r="C14" s="6"/>
      <c r="D14" s="6"/>
      <c r="E14" s="6"/>
      <c r="F14" s="5"/>
      <c r="G14" s="5"/>
      <c r="H14" s="5"/>
      <c r="I14" s="5"/>
      <c r="J14" s="6"/>
      <c r="K14" s="5"/>
      <c r="M14" s="5" t="s">
        <v>173</v>
      </c>
      <c r="N14" s="5" t="s">
        <v>176</v>
      </c>
      <c r="O14" s="6">
        <v>-4356</v>
      </c>
      <c r="P14" s="6">
        <v>-3993</v>
      </c>
      <c r="Q14" s="6">
        <v>-363</v>
      </c>
      <c r="R14" s="5">
        <v>9.0909090909090898E-2</v>
      </c>
    </row>
    <row r="15" spans="1:18" s="9" customFormat="1" ht="15.75">
      <c r="A15" s="10" t="s">
        <v>93</v>
      </c>
      <c r="C15" s="9" t="s">
        <v>76</v>
      </c>
      <c r="F15" s="9" t="s">
        <v>94</v>
      </c>
      <c r="H15" s="9" t="s">
        <v>98</v>
      </c>
      <c r="M15" s="5" t="s">
        <v>174</v>
      </c>
      <c r="N15" s="5" t="s">
        <v>194</v>
      </c>
      <c r="O15" s="6">
        <v>0</v>
      </c>
      <c r="P15" s="6">
        <v>0</v>
      </c>
      <c r="Q15" s="6">
        <v>0</v>
      </c>
      <c r="R15" s="5">
        <v>0</v>
      </c>
    </row>
    <row r="16" spans="1:18" s="9" customFormat="1" ht="44.25" customHeight="1">
      <c r="A16" s="10" t="s">
        <v>95</v>
      </c>
      <c r="C16" s="9" t="s">
        <v>96</v>
      </c>
      <c r="F16" s="9" t="s">
        <v>97</v>
      </c>
      <c r="H16" s="9" t="s">
        <v>98</v>
      </c>
      <c r="M16" s="5" t="s">
        <v>170</v>
      </c>
      <c r="N16" s="5" t="s">
        <v>177</v>
      </c>
      <c r="O16" s="6">
        <v>-7212816.3499999996</v>
      </c>
      <c r="P16" s="6">
        <v>-6542489.3499999996</v>
      </c>
      <c r="Q16" s="6">
        <v>-670327</v>
      </c>
      <c r="R16" s="5">
        <v>0.102457484321316</v>
      </c>
    </row>
    <row r="17" spans="1:18" s="9" customFormat="1" ht="15.75">
      <c r="A17" s="10" t="s">
        <v>99</v>
      </c>
      <c r="C17" s="11" t="s">
        <v>214</v>
      </c>
      <c r="D17" s="11"/>
      <c r="E17" s="11"/>
      <c r="F17" s="9" t="s">
        <v>100</v>
      </c>
      <c r="H17" s="9" t="s">
        <v>98</v>
      </c>
      <c r="M17" s="5" t="s">
        <v>90</v>
      </c>
      <c r="N17" s="5" t="s">
        <v>50</v>
      </c>
      <c r="O17" s="6">
        <v>31152.5</v>
      </c>
      <c r="P17" s="6">
        <v>31094.6</v>
      </c>
      <c r="Q17" s="6">
        <v>57.900000000001498</v>
      </c>
      <c r="R17" s="5">
        <v>1.8620596502287E-3</v>
      </c>
    </row>
    <row r="18" spans="1:18" s="9" customFormat="1" ht="15.75">
      <c r="A18" s="10" t="s">
        <v>101</v>
      </c>
      <c r="C18" s="9" t="s">
        <v>102</v>
      </c>
      <c r="D18" s="9" t="s">
        <v>103</v>
      </c>
      <c r="E18" s="9" t="s">
        <v>103</v>
      </c>
      <c r="M18" s="5" t="s">
        <v>196</v>
      </c>
      <c r="N18" s="5" t="s">
        <v>197</v>
      </c>
      <c r="O18" s="6">
        <v>95000</v>
      </c>
      <c r="P18" s="6">
        <v>95000</v>
      </c>
      <c r="Q18" s="6">
        <v>0</v>
      </c>
      <c r="R18" s="5">
        <v>0</v>
      </c>
    </row>
    <row r="19" spans="1:18" s="9" customFormat="1" ht="15.75">
      <c r="A19" s="10" t="s">
        <v>104</v>
      </c>
      <c r="C19" s="9" t="s">
        <v>191</v>
      </c>
      <c r="D19" s="9" t="s">
        <v>190</v>
      </c>
      <c r="M19" s="5" t="s">
        <v>91</v>
      </c>
      <c r="N19" s="5" t="s">
        <v>195</v>
      </c>
      <c r="O19" s="6">
        <v>-485267.95</v>
      </c>
      <c r="P19" s="6">
        <v>-459229.23</v>
      </c>
      <c r="Q19" s="6">
        <v>-26038.720000000001</v>
      </c>
      <c r="R19" s="5">
        <v>5.6700920366066498E-2</v>
      </c>
    </row>
    <row r="20" spans="1:18" s="9" customFormat="1" ht="15.75">
      <c r="A20" s="10" t="s">
        <v>77</v>
      </c>
      <c r="M20" s="5" t="s">
        <v>204</v>
      </c>
      <c r="N20" s="5" t="s">
        <v>205</v>
      </c>
      <c r="O20" s="6">
        <v>-518410.05</v>
      </c>
      <c r="P20" s="6">
        <v>-460808.94</v>
      </c>
      <c r="Q20" s="6">
        <v>-57601.11</v>
      </c>
      <c r="R20" s="5">
        <v>0.124999983724274</v>
      </c>
    </row>
    <row r="21" spans="1:18" s="9" customFormat="1" ht="15.75">
      <c r="A21" s="10" t="s">
        <v>105</v>
      </c>
      <c r="M21" s="9" t="s">
        <v>69</v>
      </c>
      <c r="N21" s="9" t="s">
        <v>69</v>
      </c>
      <c r="O21" s="12">
        <v>-9634141.8499999996</v>
      </c>
      <c r="P21" s="12">
        <v>-8751582.9199999999</v>
      </c>
      <c r="Q21" s="12">
        <v>-882558.93</v>
      </c>
      <c r="R21" s="9">
        <v>0.100845634220421</v>
      </c>
    </row>
    <row r="22" spans="1:18" s="9" customFormat="1" ht="15.75">
      <c r="A22" s="10" t="s">
        <v>106</v>
      </c>
      <c r="O22" s="12"/>
      <c r="P22" s="12"/>
      <c r="Q22" s="12"/>
    </row>
    <row r="23" spans="1:18" s="9" customFormat="1" ht="15.75">
      <c r="A23" s="10" t="s">
        <v>107</v>
      </c>
      <c r="O23" s="12"/>
      <c r="P23" s="12"/>
      <c r="Q23" s="12"/>
    </row>
    <row r="24" spans="1:18" s="9" customFormat="1" ht="15.75">
      <c r="A24" s="10" t="s">
        <v>108</v>
      </c>
      <c r="C24" s="9" t="s">
        <v>109</v>
      </c>
      <c r="D24" s="9" t="s">
        <v>110</v>
      </c>
      <c r="E24" s="9" t="s">
        <v>111</v>
      </c>
      <c r="F24" s="9" t="s">
        <v>112</v>
      </c>
      <c r="G24" s="9" t="s">
        <v>113</v>
      </c>
      <c r="H24" s="9" t="s">
        <v>179</v>
      </c>
      <c r="I24" s="9" t="s">
        <v>180</v>
      </c>
      <c r="J24" s="9" t="s">
        <v>181</v>
      </c>
      <c r="K24" s="9" t="s">
        <v>182</v>
      </c>
      <c r="O24" s="12"/>
      <c r="P24" s="12"/>
      <c r="Q24" s="12"/>
    </row>
    <row r="25" spans="1:18" s="9" customFormat="1" ht="15.75">
      <c r="A25" s="10" t="s">
        <v>114</v>
      </c>
      <c r="O25" s="12"/>
      <c r="P25" s="12"/>
      <c r="Q25" s="12"/>
    </row>
    <row r="26" spans="1:18" s="9" customFormat="1" ht="15.75">
      <c r="A26" s="10" t="s">
        <v>115</v>
      </c>
      <c r="O26" s="12"/>
      <c r="P26" s="12"/>
      <c r="Q26" s="12"/>
    </row>
    <row r="27" spans="1:18" s="9" customFormat="1" ht="15.75">
      <c r="A27" s="10" t="s">
        <v>116</v>
      </c>
      <c r="O27" s="12"/>
      <c r="P27" s="12"/>
      <c r="Q27" s="12"/>
    </row>
    <row r="28" spans="1:18" s="9" customFormat="1" ht="15.75">
      <c r="A28" s="10" t="s">
        <v>117</v>
      </c>
      <c r="O28" s="12"/>
      <c r="P28" s="12"/>
      <c r="Q28" s="12"/>
    </row>
    <row r="29" spans="1:18" s="9" customFormat="1" ht="15.75">
      <c r="A29" s="10" t="s">
        <v>118</v>
      </c>
      <c r="O29" s="12"/>
      <c r="P29" s="12"/>
      <c r="Q29" s="12"/>
    </row>
    <row r="30" spans="1:18" s="9" customFormat="1" ht="15.75">
      <c r="A30" s="10" t="s">
        <v>189</v>
      </c>
      <c r="O30" s="12"/>
      <c r="P30" s="12"/>
      <c r="Q30" s="12"/>
    </row>
    <row r="31" spans="1:18" s="9" customFormat="1" ht="15.75">
      <c r="A31" s="10" t="s">
        <v>188</v>
      </c>
      <c r="O31" s="12"/>
      <c r="P31" s="12"/>
      <c r="Q31" s="12"/>
    </row>
    <row r="32" spans="1:18" ht="15.75">
      <c r="A32" s="9" t="s">
        <v>77</v>
      </c>
      <c r="B32" s="9"/>
      <c r="C32" s="9"/>
      <c r="D32" s="9"/>
      <c r="E32" s="9"/>
      <c r="F32" s="9"/>
      <c r="G32" s="9"/>
      <c r="H32" s="9"/>
      <c r="I32" s="9"/>
      <c r="J32" s="9"/>
      <c r="K32" s="9"/>
      <c r="M32" s="9"/>
      <c r="N32" s="9"/>
      <c r="O32" s="12"/>
      <c r="P32" s="12"/>
      <c r="Q32" s="12"/>
      <c r="R32" s="9"/>
    </row>
    <row r="33" spans="1:12">
      <c r="A33" s="5" t="s">
        <v>119</v>
      </c>
      <c r="L33" s="5" t="s">
        <v>185</v>
      </c>
    </row>
    <row r="34" spans="1:12">
      <c r="B34" s="5" t="s">
        <v>120</v>
      </c>
      <c r="C34" s="6" t="s">
        <v>121</v>
      </c>
      <c r="D34" s="6" t="s">
        <v>122</v>
      </c>
      <c r="E34" s="6" t="s">
        <v>123</v>
      </c>
      <c r="F34" s="5" t="s">
        <v>124</v>
      </c>
      <c r="G34" s="5" t="s">
        <v>125</v>
      </c>
      <c r="H34" s="5" t="s">
        <v>126</v>
      </c>
      <c r="I34" s="5" t="s">
        <v>187</v>
      </c>
      <c r="J34" s="5" t="s">
        <v>127</v>
      </c>
      <c r="K34" s="5" t="s">
        <v>186</v>
      </c>
    </row>
  </sheetData>
  <mergeCells count="1">
    <mergeCell ref="C17:E17"/>
  </mergeCells>
  <phoneticPr fontId="3" type="noConversion"/>
  <pageMargins left="0.75" right="0.75" top="1" bottom="1" header="0.5" footer="0.5"/>
  <pageSetup scale="34"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Procedure</vt:lpstr>
      <vt:lpstr>Dec</vt:lpstr>
      <vt:lpstr>SOFIA</vt:lpstr>
      <vt:lpstr>Dec!Print_Area</vt:lpstr>
      <vt:lpstr>Procedure!Print_Area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sajordan</cp:lastModifiedBy>
  <cp:lastPrinted>2011-10-20T19:19:28Z</cp:lastPrinted>
  <dcterms:created xsi:type="dcterms:W3CDTF">2007-06-10T12:45:58Z</dcterms:created>
  <dcterms:modified xsi:type="dcterms:W3CDTF">2011-10-20T19:19:30Z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-1309714737</vt:i4>
  </property>
  <property fmtid="{D5CDD505-2E9C-101B-9397-08002B2CF9AE}" pid="3" name="_NewReviewCycle">
    <vt:lpwstr/>
  </property>
  <property fmtid="{D5CDD505-2E9C-101B-9397-08002B2CF9AE}" pid="4" name="_EmailSubject">
    <vt:lpwstr/>
  </property>
  <property fmtid="{D5CDD505-2E9C-101B-9397-08002B2CF9AE}" pid="5" name="_AuthorEmail">
    <vt:lpwstr>PDSHIMEL@southernco.com</vt:lpwstr>
  </property>
  <property fmtid="{D5CDD505-2E9C-101B-9397-08002B2CF9AE}" pid="6" name="_AuthorEmailDisplayName">
    <vt:lpwstr>Shimel, Paul D.</vt:lpwstr>
  </property>
  <property fmtid="{D5CDD505-2E9C-101B-9397-08002B2CF9AE}" pid="7" name="_PreviousAdHocReviewCycleID">
    <vt:i4>2108935573</vt:i4>
  </property>
  <property fmtid="{D5CDD505-2E9C-101B-9397-08002B2CF9AE}" pid="8" name="_ReviewingToolsShownOnce">
    <vt:lpwstr/>
  </property>
</Properties>
</file>