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checkCompatibility="1" defaultThemeVersion="124226"/>
  <bookViews>
    <workbookView xWindow="-15" yWindow="-15" windowWidth="19320" windowHeight="3645"/>
  </bookViews>
  <sheets>
    <sheet name="2010" sheetId="5" r:id="rId1"/>
  </sheets>
  <definedNames>
    <definedName name="_xlnm.Print_Area" localSheetId="0">'2010'!$A$1:$O$55</definedName>
  </definedNames>
  <calcPr calcId="125725" calcOnSave="0"/>
</workbook>
</file>

<file path=xl/calcChain.xml><?xml version="1.0" encoding="utf-8"?>
<calcChain xmlns="http://schemas.openxmlformats.org/spreadsheetml/2006/main">
  <c r="I37" i="5"/>
  <c r="I36"/>
  <c r="I30"/>
  <c r="G38"/>
  <c r="F25"/>
  <c r="F24"/>
  <c r="F13"/>
  <c r="F17" s="1"/>
  <c r="F21" s="1"/>
  <c r="F12"/>
  <c r="F16" s="1"/>
  <c r="D28"/>
  <c r="D10"/>
  <c r="C10"/>
  <c r="C28" s="1"/>
  <c r="C36"/>
  <c r="O49"/>
  <c r="C24"/>
  <c r="E10"/>
  <c r="E28" s="1"/>
  <c r="F10"/>
  <c r="F28" s="1"/>
  <c r="G10"/>
  <c r="H10"/>
  <c r="I10"/>
  <c r="J10"/>
  <c r="K10"/>
  <c r="L10"/>
  <c r="M10"/>
  <c r="D12"/>
  <c r="D16" s="1"/>
  <c r="E12"/>
  <c r="G12"/>
  <c r="G14" s="1"/>
  <c r="H12"/>
  <c r="H16" s="1"/>
  <c r="H20" s="1"/>
  <c r="I12"/>
  <c r="I16" s="1"/>
  <c r="J12"/>
  <c r="K12"/>
  <c r="K16" s="1"/>
  <c r="L12"/>
  <c r="M12"/>
  <c r="M16" s="1"/>
  <c r="D13"/>
  <c r="E13"/>
  <c r="E14" s="1"/>
  <c r="G13"/>
  <c r="H13"/>
  <c r="I13"/>
  <c r="J13"/>
  <c r="J14" s="1"/>
  <c r="K13"/>
  <c r="L13"/>
  <c r="L14" s="1"/>
  <c r="M13"/>
  <c r="M14" s="1"/>
  <c r="D14"/>
  <c r="F14"/>
  <c r="I14"/>
  <c r="K14"/>
  <c r="E16"/>
  <c r="E20" s="1"/>
  <c r="J16"/>
  <c r="J20" s="1"/>
  <c r="L16"/>
  <c r="L20" s="1"/>
  <c r="D17"/>
  <c r="D21" s="1"/>
  <c r="G17"/>
  <c r="G21" s="1"/>
  <c r="I17"/>
  <c r="I21" s="1"/>
  <c r="K17"/>
  <c r="K21" s="1"/>
  <c r="M17"/>
  <c r="M21" s="1"/>
  <c r="D24"/>
  <c r="E24"/>
  <c r="G24"/>
  <c r="H24"/>
  <c r="I24"/>
  <c r="J24"/>
  <c r="K24"/>
  <c r="L24"/>
  <c r="M24"/>
  <c r="D25"/>
  <c r="D26" s="1"/>
  <c r="E25"/>
  <c r="G25"/>
  <c r="H25"/>
  <c r="I25"/>
  <c r="I26" s="1"/>
  <c r="J25"/>
  <c r="K25"/>
  <c r="K26" s="1"/>
  <c r="L25"/>
  <c r="M25"/>
  <c r="M26" s="1"/>
  <c r="E26"/>
  <c r="F26"/>
  <c r="H26"/>
  <c r="J26"/>
  <c r="L26"/>
  <c r="G28"/>
  <c r="H28"/>
  <c r="I28"/>
  <c r="J28"/>
  <c r="K28"/>
  <c r="L28"/>
  <c r="M28"/>
  <c r="D29"/>
  <c r="G29"/>
  <c r="H29"/>
  <c r="I29"/>
  <c r="I46" s="1"/>
  <c r="J29"/>
  <c r="K29"/>
  <c r="L29"/>
  <c r="M29"/>
  <c r="D30"/>
  <c r="J30"/>
  <c r="L30"/>
  <c r="M30"/>
  <c r="D34"/>
  <c r="E34"/>
  <c r="F34"/>
  <c r="G34"/>
  <c r="H34"/>
  <c r="I34"/>
  <c r="J34"/>
  <c r="K34"/>
  <c r="L34"/>
  <c r="M34"/>
  <c r="D36"/>
  <c r="E36"/>
  <c r="F36"/>
  <c r="G36"/>
  <c r="H36"/>
  <c r="I38"/>
  <c r="J36"/>
  <c r="J38" s="1"/>
  <c r="K36"/>
  <c r="K45" s="1"/>
  <c r="L36"/>
  <c r="M36"/>
  <c r="D37"/>
  <c r="E37"/>
  <c r="F37"/>
  <c r="G37"/>
  <c r="H37"/>
  <c r="J37"/>
  <c r="K37"/>
  <c r="L37"/>
  <c r="M37"/>
  <c r="D38"/>
  <c r="E38"/>
  <c r="F38"/>
  <c r="H38"/>
  <c r="K38"/>
  <c r="L38"/>
  <c r="M38"/>
  <c r="D42"/>
  <c r="E42"/>
  <c r="F42"/>
  <c r="G42"/>
  <c r="H42"/>
  <c r="I42"/>
  <c r="J42"/>
  <c r="K42"/>
  <c r="L42"/>
  <c r="M42"/>
  <c r="D45"/>
  <c r="D47" s="1"/>
  <c r="D51" s="1"/>
  <c r="G45"/>
  <c r="H45"/>
  <c r="J45"/>
  <c r="L45"/>
  <c r="L47" s="1"/>
  <c r="L51" s="1"/>
  <c r="M45"/>
  <c r="M47" s="1"/>
  <c r="M51" s="1"/>
  <c r="D46"/>
  <c r="J46"/>
  <c r="K46"/>
  <c r="L46"/>
  <c r="M46"/>
  <c r="C42"/>
  <c r="O42" s="1"/>
  <c r="C37"/>
  <c r="C38"/>
  <c r="C34"/>
  <c r="C25"/>
  <c r="C26" s="1"/>
  <c r="C13"/>
  <c r="C17" s="1"/>
  <c r="C21" s="1"/>
  <c r="C12"/>
  <c r="N42"/>
  <c r="O41"/>
  <c r="O40"/>
  <c r="N37"/>
  <c r="N36"/>
  <c r="N34"/>
  <c r="O34" s="1"/>
  <c r="O33"/>
  <c r="O32"/>
  <c r="N25"/>
  <c r="N24"/>
  <c r="N26" s="1"/>
  <c r="N13"/>
  <c r="N17" s="1"/>
  <c r="N21" s="1"/>
  <c r="N12"/>
  <c r="N14" s="1"/>
  <c r="N10"/>
  <c r="N28" s="1"/>
  <c r="O9"/>
  <c r="O8"/>
  <c r="O7"/>
  <c r="K47" l="1"/>
  <c r="K51" s="1"/>
  <c r="K30"/>
  <c r="J47"/>
  <c r="J51" s="1"/>
  <c r="I45"/>
  <c r="I47" s="1"/>
  <c r="I51" s="1"/>
  <c r="H14"/>
  <c r="H46"/>
  <c r="H30"/>
  <c r="H47"/>
  <c r="H51" s="1"/>
  <c r="M20"/>
  <c r="M22" s="1"/>
  <c r="M18"/>
  <c r="M44" s="1"/>
  <c r="K20"/>
  <c r="K22" s="1"/>
  <c r="K18"/>
  <c r="I20"/>
  <c r="I22" s="1"/>
  <c r="I18"/>
  <c r="I44" s="1"/>
  <c r="D20"/>
  <c r="D22" s="1"/>
  <c r="D18"/>
  <c r="D44" s="1"/>
  <c r="F45"/>
  <c r="F20"/>
  <c r="F22" s="1"/>
  <c r="F18"/>
  <c r="O25"/>
  <c r="N38"/>
  <c r="C14"/>
  <c r="G26"/>
  <c r="L17"/>
  <c r="J17"/>
  <c r="H17"/>
  <c r="E17"/>
  <c r="G16"/>
  <c r="F29"/>
  <c r="F46" s="1"/>
  <c r="G47"/>
  <c r="G51" s="1"/>
  <c r="G46"/>
  <c r="G30"/>
  <c r="E45"/>
  <c r="E29"/>
  <c r="E46" s="1"/>
  <c r="C45"/>
  <c r="C16"/>
  <c r="C29"/>
  <c r="C46" s="1"/>
  <c r="O10"/>
  <c r="N45"/>
  <c r="O12"/>
  <c r="N16"/>
  <c r="N29"/>
  <c r="N46" s="1"/>
  <c r="O36"/>
  <c r="O24"/>
  <c r="O26" s="1"/>
  <c r="O37"/>
  <c r="K44" l="1"/>
  <c r="H18"/>
  <c r="H21"/>
  <c r="H22" s="1"/>
  <c r="E18"/>
  <c r="E21"/>
  <c r="E22" s="1"/>
  <c r="J18"/>
  <c r="J21"/>
  <c r="J22" s="1"/>
  <c r="F47"/>
  <c r="F51" s="1"/>
  <c r="F30"/>
  <c r="F44" s="1"/>
  <c r="G18"/>
  <c r="G20"/>
  <c r="G22" s="1"/>
  <c r="L18"/>
  <c r="L21"/>
  <c r="L22" s="1"/>
  <c r="E30"/>
  <c r="E47"/>
  <c r="E51" s="1"/>
  <c r="C20"/>
  <c r="C22" s="1"/>
  <c r="C18"/>
  <c r="C30"/>
  <c r="O38"/>
  <c r="C47"/>
  <c r="C51" s="1"/>
  <c r="N20"/>
  <c r="N22" s="1"/>
  <c r="N18"/>
  <c r="O16"/>
  <c r="N30"/>
  <c r="P46"/>
  <c r="O13"/>
  <c r="O17" s="1"/>
  <c r="O21" s="1"/>
  <c r="N47"/>
  <c r="N51" s="1"/>
  <c r="E44" l="1"/>
  <c r="L44"/>
  <c r="G44"/>
  <c r="J44"/>
  <c r="H44"/>
  <c r="O51"/>
  <c r="C44"/>
  <c r="O18"/>
  <c r="O20"/>
  <c r="O22" s="1"/>
  <c r="O29"/>
  <c r="O46" s="1"/>
  <c r="P45"/>
  <c r="P47" s="1"/>
  <c r="O14"/>
  <c r="N44"/>
  <c r="O28"/>
  <c r="P44" l="1"/>
  <c r="O45"/>
  <c r="O47" s="1"/>
  <c r="O30"/>
  <c r="O44" s="1"/>
</calcChain>
</file>

<file path=xl/comments1.xml><?xml version="1.0" encoding="utf-8"?>
<comments xmlns="http://schemas.openxmlformats.org/spreadsheetml/2006/main">
  <authors>
    <author>sajordan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sajordan:</t>
        </r>
        <r>
          <rPr>
            <sz val="8"/>
            <color indexed="81"/>
            <rFont val="Tahoma"/>
            <family val="2"/>
          </rPr>
          <t xml:space="preserve">
Each month, provide a copy to Corporate Acctg (Doug Dangelo)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sajordan:</t>
        </r>
        <r>
          <rPr>
            <sz val="8"/>
            <color indexed="81"/>
            <rFont val="Tahoma"/>
            <family val="2"/>
          </rPr>
          <t xml:space="preserve">
Correct data entry error from Jan-2010</t>
        </r>
      </text>
    </comment>
  </commentList>
</comments>
</file>

<file path=xl/sharedStrings.xml><?xml version="1.0" encoding="utf-8"?>
<sst xmlns="http://schemas.openxmlformats.org/spreadsheetml/2006/main" count="66" uniqueCount="48">
  <si>
    <t>Gulf Power Company</t>
  </si>
  <si>
    <t>Stock Options</t>
  </si>
  <si>
    <t>Jan</t>
  </si>
  <si>
    <t>Feb</t>
  </si>
  <si>
    <t>Mar</t>
  </si>
  <si>
    <t>Apr</t>
  </si>
  <si>
    <t>May</t>
  </si>
  <si>
    <t>Exercise Gains on exercised options</t>
  </si>
  <si>
    <t>Pre Adop expensed value of exercised options</t>
  </si>
  <si>
    <t>Post Adop expensed value of exercised options</t>
  </si>
  <si>
    <t>YTD</t>
  </si>
  <si>
    <t>Fed</t>
  </si>
  <si>
    <t>State</t>
  </si>
  <si>
    <t xml:space="preserve">State </t>
  </si>
  <si>
    <t>Deferred Tax Acct 410</t>
  </si>
  <si>
    <t>Deferred Tax Asset  Acct 190</t>
  </si>
  <si>
    <t>Tax Liability Acct 236</t>
  </si>
  <si>
    <t>Net</t>
  </si>
  <si>
    <t>Tax Pool</t>
  </si>
  <si>
    <t>General</t>
  </si>
  <si>
    <t>Affects Timing</t>
  </si>
  <si>
    <t>Tax Exp Acct 409</t>
  </si>
  <si>
    <t>Net Debits and Credits</t>
  </si>
  <si>
    <t>Proforma in Pre Income Return on Equity</t>
  </si>
  <si>
    <t>Capital Contribution</t>
  </si>
  <si>
    <t>Aug</t>
  </si>
  <si>
    <t>Sep</t>
  </si>
  <si>
    <t>Oct</t>
  </si>
  <si>
    <t>Nov</t>
  </si>
  <si>
    <t>Dec</t>
  </si>
  <si>
    <t>Posted to G/L</t>
  </si>
  <si>
    <t>Difference</t>
  </si>
  <si>
    <t>should be (per L. McIntosh/D. Kassinger JV file)</t>
  </si>
  <si>
    <t>Give a copy to Doug</t>
  </si>
  <si>
    <t>Input this amount under Temporary Diffs - STOCK OPTIONS EXERCISED - Elec Op Retail</t>
  </si>
  <si>
    <t>Input this amount under Discrete &amp; Other  - STOCK OPTIONS EXCESS ... Elec Op Retail</t>
  </si>
  <si>
    <t>Input this amount under Discrete &amp; Other  - STOCK OPTIONS EXPENSE ... Elec Op Retail</t>
  </si>
  <si>
    <t>For the Year 2010</t>
  </si>
  <si>
    <t>Jun</t>
  </si>
  <si>
    <t>Jul</t>
  </si>
  <si>
    <t>Previously account 211-00116</t>
  </si>
  <si>
    <t>APIC  Stock Option Tax Pool 211-00210</t>
  </si>
  <si>
    <t>Previously account 211-00106</t>
  </si>
  <si>
    <t>APIC - Stock Option (General)  211-00109</t>
  </si>
  <si>
    <t>Total change in 21100109 and 21100210</t>
  </si>
  <si>
    <t>Stock Option Costs 21100109 - booked by R.Walker</t>
  </si>
  <si>
    <t>Prepared by: Cody Castleberry</t>
  </si>
  <si>
    <t>Date: 01/05/11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</si>
</sst>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2"/>
      <name val="Times New Roman"/>
    </font>
    <font>
      <sz val="12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 applyFill="1"/>
    <xf numFmtId="43" fontId="4" fillId="0" borderId="0" xfId="1" applyFont="1" applyFill="1" applyBorder="1"/>
    <xf numFmtId="0" fontId="4" fillId="0" borderId="0" xfId="0" applyFont="1" applyFill="1" applyBorder="1"/>
    <xf numFmtId="0" fontId="4" fillId="0" borderId="0" xfId="0" applyFont="1" applyFill="1" applyAlignment="1">
      <alignment horizontal="left"/>
    </xf>
    <xf numFmtId="43" fontId="4" fillId="0" borderId="0" xfId="0" applyNumberFormat="1" applyFont="1" applyFill="1" applyBorder="1"/>
    <xf numFmtId="0" fontId="4" fillId="0" borderId="1" xfId="0" applyFont="1" applyFill="1" applyBorder="1" applyAlignment="1">
      <alignment horizontal="center"/>
    </xf>
    <xf numFmtId="43" fontId="4" fillId="0" borderId="0" xfId="1" applyFont="1" applyFill="1"/>
    <xf numFmtId="43" fontId="4" fillId="0" borderId="0" xfId="1" quotePrefix="1" applyFont="1" applyFill="1" applyAlignment="1">
      <alignment horizontal="left"/>
    </xf>
    <xf numFmtId="43" fontId="4" fillId="0" borderId="1" xfId="1" applyFont="1" applyFill="1" applyBorder="1"/>
    <xf numFmtId="0" fontId="4" fillId="0" borderId="0" xfId="0" quotePrefix="1" applyFont="1" applyFill="1" applyAlignment="1">
      <alignment horizontal="left"/>
    </xf>
    <xf numFmtId="0" fontId="5" fillId="0" borderId="0" xfId="0" applyFont="1" applyFill="1"/>
    <xf numFmtId="43" fontId="5" fillId="0" borderId="0" xfId="1" applyFont="1" applyFill="1"/>
    <xf numFmtId="43" fontId="4" fillId="0" borderId="2" xfId="1" applyFont="1" applyFill="1" applyBorder="1"/>
    <xf numFmtId="0" fontId="5" fillId="0" borderId="0" xfId="0" quotePrefix="1" applyFont="1" applyFill="1" applyAlignment="1">
      <alignment horizontal="left"/>
    </xf>
    <xf numFmtId="43" fontId="4" fillId="0" borderId="0" xfId="0" applyNumberFormat="1" applyFont="1" applyFill="1"/>
    <xf numFmtId="43" fontId="4" fillId="0" borderId="1" xfId="0" applyNumberFormat="1" applyFont="1" applyFill="1" applyBorder="1"/>
    <xf numFmtId="43" fontId="4" fillId="0" borderId="3" xfId="0" applyNumberFormat="1" applyFont="1" applyFill="1" applyBorder="1"/>
    <xf numFmtId="14" fontId="4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5"/>
  <sheetViews>
    <sheetView tabSelected="1" zoomScaleNormal="100" zoomScaleSheetLayoutView="7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5.75"/>
  <cols>
    <col min="1" max="1" width="41.5" style="1" customWidth="1"/>
    <col min="2" max="2" width="14.75" style="1" customWidth="1"/>
    <col min="3" max="3" width="13.375" style="1" customWidth="1"/>
    <col min="4" max="4" width="12.625" style="1" bestFit="1" customWidth="1"/>
    <col min="5" max="5" width="11.625" style="1" bestFit="1" customWidth="1"/>
    <col min="6" max="6" width="12.375" style="1" customWidth="1"/>
    <col min="7" max="8" width="12.125" style="1" customWidth="1"/>
    <col min="9" max="9" width="12.625" style="1" bestFit="1" customWidth="1"/>
    <col min="10" max="14" width="12.125" style="1" customWidth="1"/>
    <col min="15" max="15" width="14.375" style="1" bestFit="1" customWidth="1"/>
    <col min="16" max="16" width="12.625" style="1" customWidth="1"/>
    <col min="17" max="17" width="11" style="1" bestFit="1" customWidth="1"/>
    <col min="18" max="18" width="13.625" style="1" bestFit="1" customWidth="1"/>
    <col min="19" max="16384" width="9" style="1"/>
  </cols>
  <sheetData>
    <row r="1" spans="1:24">
      <c r="A1" s="1" t="s">
        <v>0</v>
      </c>
    </row>
    <row r="2" spans="1:24">
      <c r="A2" s="1" t="s">
        <v>1</v>
      </c>
      <c r="O2" s="2"/>
      <c r="P2" s="3"/>
    </row>
    <row r="3" spans="1:24">
      <c r="A3" s="4" t="s">
        <v>37</v>
      </c>
      <c r="B3" s="4"/>
      <c r="O3" s="2"/>
      <c r="P3" s="3"/>
    </row>
    <row r="4" spans="1:24">
      <c r="A4" s="4"/>
      <c r="B4" s="4"/>
      <c r="O4" s="2"/>
      <c r="P4" s="5"/>
    </row>
    <row r="5" spans="1:24">
      <c r="A5" s="4"/>
      <c r="B5" s="4"/>
      <c r="O5" s="2"/>
      <c r="P5" s="3"/>
    </row>
    <row r="6" spans="1:24"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38</v>
      </c>
      <c r="I6" s="6" t="s">
        <v>39</v>
      </c>
      <c r="J6" s="6" t="s">
        <v>25</v>
      </c>
      <c r="K6" s="6" t="s">
        <v>26</v>
      </c>
      <c r="L6" s="6" t="s">
        <v>27</v>
      </c>
      <c r="M6" s="6" t="s">
        <v>28</v>
      </c>
      <c r="N6" s="6" t="s">
        <v>29</v>
      </c>
      <c r="O6" s="6" t="s">
        <v>10</v>
      </c>
    </row>
    <row r="7" spans="1:24">
      <c r="A7" s="1" t="s">
        <v>7</v>
      </c>
      <c r="C7" s="7">
        <v>157512.51</v>
      </c>
      <c r="D7" s="7">
        <v>132301.10999999999</v>
      </c>
      <c r="E7" s="7">
        <v>13500.51</v>
      </c>
      <c r="F7" s="7">
        <v>111197.02</v>
      </c>
      <c r="G7" s="7">
        <v>35525.660000000003</v>
      </c>
      <c r="H7" s="7">
        <v>3825.66</v>
      </c>
      <c r="I7" s="7">
        <v>400819.56</v>
      </c>
      <c r="J7" s="7">
        <v>169935.51</v>
      </c>
      <c r="K7" s="7">
        <v>149637.67000000001</v>
      </c>
      <c r="L7" s="7">
        <v>220002.16</v>
      </c>
      <c r="M7" s="7">
        <v>132134.51999999999</v>
      </c>
      <c r="N7" s="7">
        <v>37693.14</v>
      </c>
      <c r="O7" s="7">
        <f>SUM(C7:N7)</f>
        <v>1564085.0299999998</v>
      </c>
      <c r="P7" s="7"/>
      <c r="Q7" s="7"/>
      <c r="R7" s="7"/>
      <c r="S7" s="7"/>
      <c r="T7" s="7"/>
      <c r="U7" s="7"/>
      <c r="V7" s="7"/>
      <c r="W7" s="7"/>
      <c r="X7" s="7"/>
    </row>
    <row r="8" spans="1:24">
      <c r="A8" s="1" t="s">
        <v>8</v>
      </c>
      <c r="B8" s="7" t="s">
        <v>19</v>
      </c>
      <c r="C8" s="7">
        <v>31272.53</v>
      </c>
      <c r="D8" s="7">
        <v>29400.47</v>
      </c>
      <c r="E8" s="7">
        <v>4844.03</v>
      </c>
      <c r="F8" s="7">
        <v>57776.54</v>
      </c>
      <c r="G8" s="7">
        <v>5820.39</v>
      </c>
      <c r="H8" s="7">
        <v>1672.5</v>
      </c>
      <c r="I8" s="7">
        <v>106572.82</v>
      </c>
      <c r="J8" s="7">
        <v>74968.320000000007</v>
      </c>
      <c r="K8" s="7">
        <v>24847.43</v>
      </c>
      <c r="L8" s="7">
        <v>65097.93</v>
      </c>
      <c r="M8" s="7">
        <v>23210.98</v>
      </c>
      <c r="N8" s="7">
        <v>5214.92</v>
      </c>
      <c r="O8" s="7">
        <f>SUM(C8:N8)</f>
        <v>430698.86</v>
      </c>
      <c r="P8" s="1" t="s">
        <v>35</v>
      </c>
      <c r="Q8" s="7"/>
      <c r="R8" s="7"/>
      <c r="S8" s="7"/>
      <c r="T8" s="7"/>
      <c r="U8" s="7"/>
      <c r="V8" s="7"/>
      <c r="W8" s="7"/>
      <c r="X8" s="7"/>
    </row>
    <row r="9" spans="1:24">
      <c r="A9" s="1" t="s">
        <v>9</v>
      </c>
      <c r="B9" s="8" t="s">
        <v>20</v>
      </c>
      <c r="C9" s="9">
        <v>0</v>
      </c>
      <c r="D9" s="9">
        <v>0</v>
      </c>
      <c r="E9" s="9">
        <v>427.52</v>
      </c>
      <c r="F9" s="9">
        <v>4782.1400000000003</v>
      </c>
      <c r="G9" s="9">
        <v>50479.82</v>
      </c>
      <c r="H9" s="9">
        <v>318.60000000000002</v>
      </c>
      <c r="I9" s="9">
        <v>67390.41</v>
      </c>
      <c r="J9" s="9">
        <v>30006.1</v>
      </c>
      <c r="K9" s="9">
        <v>90215.039999999994</v>
      </c>
      <c r="L9" s="9">
        <v>64813.72</v>
      </c>
      <c r="M9" s="9">
        <v>64107.75</v>
      </c>
      <c r="N9" s="9">
        <v>5897.97</v>
      </c>
      <c r="O9" s="9">
        <f>SUM(C9:N9)</f>
        <v>378439.06999999995</v>
      </c>
      <c r="P9" s="1" t="s">
        <v>34</v>
      </c>
      <c r="Q9" s="7"/>
      <c r="R9" s="7"/>
      <c r="S9" s="7"/>
      <c r="T9" s="7"/>
      <c r="U9" s="7"/>
      <c r="V9" s="7"/>
      <c r="W9" s="7"/>
      <c r="X9" s="7"/>
    </row>
    <row r="10" spans="1:24">
      <c r="A10" s="1" t="s">
        <v>17</v>
      </c>
      <c r="B10" s="7" t="s">
        <v>18</v>
      </c>
      <c r="C10" s="7">
        <f>+C7-C8-C9-3000</f>
        <v>123239.98000000001</v>
      </c>
      <c r="D10" s="7">
        <f>+D7-D8-D9+3000</f>
        <v>105900.63999999998</v>
      </c>
      <c r="E10" s="7">
        <f t="shared" ref="E10:M10" si="0">+E7-E8-E9</f>
        <v>8228.9599999999991</v>
      </c>
      <c r="F10" s="7">
        <f t="shared" si="0"/>
        <v>48638.340000000004</v>
      </c>
      <c r="G10" s="7">
        <f t="shared" si="0"/>
        <v>-20774.549999999996</v>
      </c>
      <c r="H10" s="7">
        <f t="shared" si="0"/>
        <v>1834.56</v>
      </c>
      <c r="I10" s="7">
        <f t="shared" si="0"/>
        <v>226856.33</v>
      </c>
      <c r="J10" s="7">
        <f t="shared" si="0"/>
        <v>64961.090000000004</v>
      </c>
      <c r="K10" s="7">
        <f t="shared" si="0"/>
        <v>34575.200000000026</v>
      </c>
      <c r="L10" s="7">
        <f t="shared" si="0"/>
        <v>90090.510000000009</v>
      </c>
      <c r="M10" s="7">
        <f t="shared" si="0"/>
        <v>44815.789999999994</v>
      </c>
      <c r="N10" s="7">
        <f t="shared" ref="N10:O10" si="1">+N7-N8-N9</f>
        <v>26580.25</v>
      </c>
      <c r="O10" s="7">
        <f t="shared" si="1"/>
        <v>754947.1</v>
      </c>
      <c r="P10" s="1" t="s">
        <v>36</v>
      </c>
      <c r="Q10" s="7"/>
      <c r="R10" s="7"/>
      <c r="S10" s="7"/>
      <c r="T10" s="7"/>
      <c r="U10" s="7"/>
      <c r="V10" s="7"/>
      <c r="W10" s="7"/>
      <c r="X10" s="7"/>
    </row>
    <row r="11" spans="1:24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>
      <c r="A12" s="1" t="s">
        <v>11</v>
      </c>
      <c r="C12" s="7">
        <f t="shared" ref="C12:M12" si="2">-+C9*0.33075</f>
        <v>0</v>
      </c>
      <c r="D12" s="7">
        <f t="shared" si="2"/>
        <v>0</v>
      </c>
      <c r="E12" s="7">
        <f t="shared" si="2"/>
        <v>-141.40223999999998</v>
      </c>
      <c r="F12" s="7">
        <f>-ROUND((+F9*0.33075),2)</f>
        <v>-1581.69</v>
      </c>
      <c r="G12" s="7">
        <f t="shared" si="2"/>
        <v>-16696.200464999998</v>
      </c>
      <c r="H12" s="7">
        <f t="shared" si="2"/>
        <v>-105.37695000000001</v>
      </c>
      <c r="I12" s="7">
        <f t="shared" si="2"/>
        <v>-22289.378107500001</v>
      </c>
      <c r="J12" s="7">
        <f t="shared" si="2"/>
        <v>-9924.5175749999999</v>
      </c>
      <c r="K12" s="7">
        <f t="shared" si="2"/>
        <v>-29838.624479999999</v>
      </c>
      <c r="L12" s="7">
        <f t="shared" si="2"/>
        <v>-21437.137889999998</v>
      </c>
      <c r="M12" s="7">
        <f t="shared" si="2"/>
        <v>-21203.638312499999</v>
      </c>
      <c r="N12" s="7">
        <f t="shared" ref="N12" si="3">-+N9*0.33075</f>
        <v>-1950.7535775000001</v>
      </c>
      <c r="O12" s="7">
        <f>SUM(C12:N12)</f>
        <v>-125168.71959750001</v>
      </c>
      <c r="P12" s="7"/>
      <c r="Q12" s="7"/>
      <c r="R12" s="7"/>
      <c r="S12" s="7"/>
      <c r="T12" s="7"/>
      <c r="U12" s="7"/>
      <c r="V12" s="7"/>
      <c r="W12" s="7"/>
      <c r="X12" s="7"/>
    </row>
    <row r="13" spans="1:24">
      <c r="A13" s="1" t="s">
        <v>12</v>
      </c>
      <c r="C13" s="9">
        <f t="shared" ref="C13:M13" si="4">-+C9*0.055</f>
        <v>0</v>
      </c>
      <c r="D13" s="9">
        <f t="shared" si="4"/>
        <v>0</v>
      </c>
      <c r="E13" s="9">
        <f t="shared" si="4"/>
        <v>-23.5136</v>
      </c>
      <c r="F13" s="9">
        <f>-ROUND((+F9*0.055),2)</f>
        <v>-263.02</v>
      </c>
      <c r="G13" s="9">
        <f t="shared" si="4"/>
        <v>-2776.3901000000001</v>
      </c>
      <c r="H13" s="9">
        <f t="shared" si="4"/>
        <v>-17.523</v>
      </c>
      <c r="I13" s="9">
        <f t="shared" si="4"/>
        <v>-3706.4725500000004</v>
      </c>
      <c r="J13" s="9">
        <f t="shared" si="4"/>
        <v>-1650.3354999999999</v>
      </c>
      <c r="K13" s="9">
        <f t="shared" si="4"/>
        <v>-4961.8271999999997</v>
      </c>
      <c r="L13" s="9">
        <f t="shared" si="4"/>
        <v>-3564.7546000000002</v>
      </c>
      <c r="M13" s="9">
        <f t="shared" si="4"/>
        <v>-3525.92625</v>
      </c>
      <c r="N13" s="9">
        <f t="shared" ref="N13" si="5">-+N9*0.055</f>
        <v>-324.38835</v>
      </c>
      <c r="O13" s="9">
        <f>SUM(C13:N13)</f>
        <v>-20814.151150000002</v>
      </c>
      <c r="P13" s="7"/>
      <c r="Q13" s="7"/>
      <c r="R13" s="7"/>
      <c r="S13" s="7"/>
      <c r="T13" s="7"/>
      <c r="U13" s="7"/>
      <c r="V13" s="7"/>
      <c r="W13" s="7"/>
      <c r="X13" s="7"/>
    </row>
    <row r="14" spans="1:24">
      <c r="A14" s="10" t="s">
        <v>15</v>
      </c>
      <c r="B14" s="10"/>
      <c r="C14" s="7">
        <f t="shared" ref="C14:M14" si="6">+C12+C13</f>
        <v>0</v>
      </c>
      <c r="D14" s="7">
        <f t="shared" si="6"/>
        <v>0</v>
      </c>
      <c r="E14" s="7">
        <f t="shared" si="6"/>
        <v>-164.91583999999997</v>
      </c>
      <c r="F14" s="7">
        <f t="shared" si="6"/>
        <v>-1844.71</v>
      </c>
      <c r="G14" s="7">
        <f t="shared" si="6"/>
        <v>-19472.590564999999</v>
      </c>
      <c r="H14" s="7">
        <f t="shared" si="6"/>
        <v>-122.89995</v>
      </c>
      <c r="I14" s="7">
        <f t="shared" si="6"/>
        <v>-25995.850657499999</v>
      </c>
      <c r="J14" s="7">
        <f t="shared" si="6"/>
        <v>-11574.853074999999</v>
      </c>
      <c r="K14" s="7">
        <f t="shared" si="6"/>
        <v>-34800.451679999998</v>
      </c>
      <c r="L14" s="7">
        <f t="shared" si="6"/>
        <v>-25001.892489999998</v>
      </c>
      <c r="M14" s="7">
        <f t="shared" si="6"/>
        <v>-24729.5645625</v>
      </c>
      <c r="N14" s="7">
        <f t="shared" ref="N14:O14" si="7">+N12+N13</f>
        <v>-2275.1419275000003</v>
      </c>
      <c r="O14" s="7">
        <f t="shared" si="7"/>
        <v>-145982.87074750001</v>
      </c>
      <c r="P14" s="7"/>
      <c r="Q14" s="7"/>
      <c r="R14" s="7"/>
      <c r="S14" s="7"/>
      <c r="T14" s="7"/>
      <c r="U14" s="7"/>
      <c r="V14" s="7"/>
      <c r="W14" s="7"/>
      <c r="X14" s="7"/>
    </row>
    <row r="15" spans="1:24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>
      <c r="A16" s="1" t="s">
        <v>11</v>
      </c>
      <c r="C16" s="7">
        <f t="shared" ref="C16:M16" si="8">-C12</f>
        <v>0</v>
      </c>
      <c r="D16" s="7">
        <f t="shared" si="8"/>
        <v>0</v>
      </c>
      <c r="E16" s="7">
        <f t="shared" si="8"/>
        <v>141.40223999999998</v>
      </c>
      <c r="F16" s="7">
        <f>-ROUND((F12),2)</f>
        <v>1581.69</v>
      </c>
      <c r="G16" s="7">
        <f t="shared" si="8"/>
        <v>16696.200464999998</v>
      </c>
      <c r="H16" s="7">
        <f t="shared" si="8"/>
        <v>105.37695000000001</v>
      </c>
      <c r="I16" s="7">
        <f t="shared" si="8"/>
        <v>22289.378107500001</v>
      </c>
      <c r="J16" s="7">
        <f t="shared" si="8"/>
        <v>9924.5175749999999</v>
      </c>
      <c r="K16" s="7">
        <f t="shared" si="8"/>
        <v>29838.624479999999</v>
      </c>
      <c r="L16" s="7">
        <f t="shared" si="8"/>
        <v>21437.137889999998</v>
      </c>
      <c r="M16" s="7">
        <f t="shared" si="8"/>
        <v>21203.638312499999</v>
      </c>
      <c r="N16" s="7">
        <f t="shared" ref="N16:O17" si="9">-N12</f>
        <v>1950.7535775000001</v>
      </c>
      <c r="O16" s="7">
        <f t="shared" si="9"/>
        <v>125168.71959750001</v>
      </c>
      <c r="P16" s="7"/>
      <c r="Q16" s="7"/>
      <c r="R16" s="7"/>
      <c r="S16" s="7"/>
      <c r="T16" s="7"/>
      <c r="U16" s="7"/>
      <c r="V16" s="7"/>
      <c r="W16" s="7"/>
      <c r="X16" s="7"/>
    </row>
    <row r="17" spans="1:24">
      <c r="A17" s="1" t="s">
        <v>13</v>
      </c>
      <c r="C17" s="9">
        <f t="shared" ref="C17:M17" si="10">-C13</f>
        <v>0</v>
      </c>
      <c r="D17" s="9">
        <f t="shared" si="10"/>
        <v>0</v>
      </c>
      <c r="E17" s="9">
        <f t="shared" si="10"/>
        <v>23.5136</v>
      </c>
      <c r="F17" s="9">
        <f>-ROUND((F13),2)</f>
        <v>263.02</v>
      </c>
      <c r="G17" s="9">
        <f t="shared" si="10"/>
        <v>2776.3901000000001</v>
      </c>
      <c r="H17" s="9">
        <f t="shared" si="10"/>
        <v>17.523</v>
      </c>
      <c r="I17" s="9">
        <f t="shared" si="10"/>
        <v>3706.4725500000004</v>
      </c>
      <c r="J17" s="9">
        <f t="shared" si="10"/>
        <v>1650.3354999999999</v>
      </c>
      <c r="K17" s="9">
        <f t="shared" si="10"/>
        <v>4961.8271999999997</v>
      </c>
      <c r="L17" s="9">
        <f t="shared" si="10"/>
        <v>3564.7546000000002</v>
      </c>
      <c r="M17" s="9">
        <f t="shared" si="10"/>
        <v>3525.92625</v>
      </c>
      <c r="N17" s="9">
        <f t="shared" si="9"/>
        <v>324.38835</v>
      </c>
      <c r="O17" s="9">
        <f t="shared" si="9"/>
        <v>20814.151150000002</v>
      </c>
      <c r="P17" s="7"/>
      <c r="Q17" s="7"/>
      <c r="R17" s="7"/>
      <c r="S17" s="7"/>
      <c r="T17" s="7"/>
      <c r="U17" s="7"/>
      <c r="V17" s="7"/>
      <c r="W17" s="7"/>
      <c r="X17" s="7"/>
    </row>
    <row r="18" spans="1:24">
      <c r="A18" s="10" t="s">
        <v>14</v>
      </c>
      <c r="B18" s="10"/>
      <c r="C18" s="7">
        <f t="shared" ref="C18:M18" si="11">+C16+C17</f>
        <v>0</v>
      </c>
      <c r="D18" s="7">
        <f t="shared" si="11"/>
        <v>0</v>
      </c>
      <c r="E18" s="7">
        <f t="shared" si="11"/>
        <v>164.91583999999997</v>
      </c>
      <c r="F18" s="7">
        <f t="shared" si="11"/>
        <v>1844.71</v>
      </c>
      <c r="G18" s="7">
        <f t="shared" si="11"/>
        <v>19472.590564999999</v>
      </c>
      <c r="H18" s="7">
        <f t="shared" si="11"/>
        <v>122.89995</v>
      </c>
      <c r="I18" s="7">
        <f t="shared" si="11"/>
        <v>25995.850657499999</v>
      </c>
      <c r="J18" s="7">
        <f t="shared" si="11"/>
        <v>11574.853074999999</v>
      </c>
      <c r="K18" s="7">
        <f t="shared" si="11"/>
        <v>34800.451679999998</v>
      </c>
      <c r="L18" s="7">
        <f t="shared" si="11"/>
        <v>25001.892489999998</v>
      </c>
      <c r="M18" s="7">
        <f t="shared" si="11"/>
        <v>24729.5645625</v>
      </c>
      <c r="N18" s="7">
        <f t="shared" ref="N18:O18" si="12">+N16+N17</f>
        <v>2275.1419275000003</v>
      </c>
      <c r="O18" s="7">
        <f t="shared" si="12"/>
        <v>145982.87074750001</v>
      </c>
      <c r="P18" s="7"/>
      <c r="Q18" s="7"/>
      <c r="R18" s="7"/>
      <c r="S18" s="7"/>
      <c r="T18" s="7"/>
      <c r="U18" s="7"/>
      <c r="V18" s="7"/>
      <c r="W18" s="7"/>
      <c r="X18" s="7"/>
    </row>
    <row r="19" spans="1:24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>
      <c r="A20" s="1" t="s">
        <v>11</v>
      </c>
      <c r="C20" s="7">
        <f t="shared" ref="C20:M20" si="13">-C16</f>
        <v>0</v>
      </c>
      <c r="D20" s="7">
        <f t="shared" si="13"/>
        <v>0</v>
      </c>
      <c r="E20" s="7">
        <f t="shared" si="13"/>
        <v>-141.40223999999998</v>
      </c>
      <c r="F20" s="7">
        <f>-ROUND((F16),2)</f>
        <v>-1581.69</v>
      </c>
      <c r="G20" s="7">
        <f t="shared" si="13"/>
        <v>-16696.200464999998</v>
      </c>
      <c r="H20" s="7">
        <f t="shared" si="13"/>
        <v>-105.37695000000001</v>
      </c>
      <c r="I20" s="7">
        <f t="shared" si="13"/>
        <v>-22289.378107500001</v>
      </c>
      <c r="J20" s="7">
        <f t="shared" si="13"/>
        <v>-9924.5175749999999</v>
      </c>
      <c r="K20" s="7">
        <f t="shared" si="13"/>
        <v>-29838.624479999999</v>
      </c>
      <c r="L20" s="7">
        <f t="shared" si="13"/>
        <v>-21437.137889999998</v>
      </c>
      <c r="M20" s="7">
        <f t="shared" si="13"/>
        <v>-21203.638312499999</v>
      </c>
      <c r="N20" s="7">
        <f t="shared" ref="N20:O21" si="14">-N16</f>
        <v>-1950.7535775000001</v>
      </c>
      <c r="O20" s="7">
        <f t="shared" si="14"/>
        <v>-125168.71959750001</v>
      </c>
      <c r="P20" s="7"/>
      <c r="Q20" s="7"/>
      <c r="R20" s="7"/>
      <c r="S20" s="7"/>
      <c r="T20" s="7"/>
      <c r="U20" s="7"/>
      <c r="V20" s="7"/>
      <c r="W20" s="7"/>
      <c r="X20" s="7"/>
    </row>
    <row r="21" spans="1:24">
      <c r="A21" s="1" t="s">
        <v>13</v>
      </c>
      <c r="C21" s="9">
        <f t="shared" ref="C21:M21" si="15">-C17</f>
        <v>0</v>
      </c>
      <c r="D21" s="9">
        <f t="shared" si="15"/>
        <v>0</v>
      </c>
      <c r="E21" s="9">
        <f t="shared" si="15"/>
        <v>-23.5136</v>
      </c>
      <c r="F21" s="9">
        <f>-ROUND((F17),2)</f>
        <v>-263.02</v>
      </c>
      <c r="G21" s="9">
        <f t="shared" si="15"/>
        <v>-2776.3901000000001</v>
      </c>
      <c r="H21" s="9">
        <f t="shared" si="15"/>
        <v>-17.523</v>
      </c>
      <c r="I21" s="9">
        <f t="shared" si="15"/>
        <v>-3706.4725500000004</v>
      </c>
      <c r="J21" s="9">
        <f t="shared" si="15"/>
        <v>-1650.3354999999999</v>
      </c>
      <c r="K21" s="9">
        <f t="shared" si="15"/>
        <v>-4961.8271999999997</v>
      </c>
      <c r="L21" s="9">
        <f t="shared" si="15"/>
        <v>-3564.7546000000002</v>
      </c>
      <c r="M21" s="9">
        <f t="shared" si="15"/>
        <v>-3525.92625</v>
      </c>
      <c r="N21" s="9">
        <f t="shared" si="14"/>
        <v>-324.38835</v>
      </c>
      <c r="O21" s="9">
        <f t="shared" si="14"/>
        <v>-20814.151150000002</v>
      </c>
      <c r="P21" s="7"/>
      <c r="Q21" s="7"/>
      <c r="R21" s="7"/>
      <c r="S21" s="7"/>
      <c r="T21" s="7"/>
      <c r="U21" s="7"/>
      <c r="V21" s="7"/>
      <c r="W21" s="7"/>
      <c r="X21" s="7"/>
    </row>
    <row r="22" spans="1:24">
      <c r="A22" s="10" t="s">
        <v>21</v>
      </c>
      <c r="B22" s="10"/>
      <c r="C22" s="7">
        <f t="shared" ref="C22:M22" si="16">+C20+C21</f>
        <v>0</v>
      </c>
      <c r="D22" s="7">
        <f t="shared" si="16"/>
        <v>0</v>
      </c>
      <c r="E22" s="7">
        <f t="shared" si="16"/>
        <v>-164.91583999999997</v>
      </c>
      <c r="F22" s="7">
        <f t="shared" si="16"/>
        <v>-1844.71</v>
      </c>
      <c r="G22" s="7">
        <f t="shared" si="16"/>
        <v>-19472.590564999999</v>
      </c>
      <c r="H22" s="7">
        <f t="shared" si="16"/>
        <v>-122.89995</v>
      </c>
      <c r="I22" s="7">
        <f t="shared" si="16"/>
        <v>-25995.850657499999</v>
      </c>
      <c r="J22" s="7">
        <f t="shared" si="16"/>
        <v>-11574.853074999999</v>
      </c>
      <c r="K22" s="7">
        <f t="shared" si="16"/>
        <v>-34800.451679999998</v>
      </c>
      <c r="L22" s="7">
        <f t="shared" si="16"/>
        <v>-25001.892489999998</v>
      </c>
      <c r="M22" s="7">
        <f t="shared" si="16"/>
        <v>-24729.5645625</v>
      </c>
      <c r="N22" s="7">
        <f t="shared" ref="N22:O22" si="17">+N20+N21</f>
        <v>-2275.1419275000003</v>
      </c>
      <c r="O22" s="7">
        <f t="shared" si="17"/>
        <v>-145982.87074750001</v>
      </c>
      <c r="P22" s="7"/>
      <c r="Q22" s="7"/>
      <c r="R22" s="7"/>
      <c r="S22" s="7"/>
      <c r="T22" s="7"/>
      <c r="U22" s="7"/>
      <c r="V22" s="7"/>
      <c r="W22" s="7"/>
      <c r="X22" s="7"/>
    </row>
    <row r="23" spans="1:24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>
      <c r="A24" s="1" t="s">
        <v>11</v>
      </c>
      <c r="C24" s="7">
        <f>+C7*0.33075</f>
        <v>52097.262682500004</v>
      </c>
      <c r="D24" s="7">
        <f t="shared" ref="D24:M24" si="18">+D7*0.33075</f>
        <v>43758.592132499994</v>
      </c>
      <c r="E24" s="7">
        <f t="shared" si="18"/>
        <v>4465.2936824999997</v>
      </c>
      <c r="F24" s="7">
        <f>ROUND((+F7*0.33075),2)</f>
        <v>36778.410000000003</v>
      </c>
      <c r="G24" s="7">
        <f t="shared" si="18"/>
        <v>11750.112045</v>
      </c>
      <c r="H24" s="7">
        <f t="shared" si="18"/>
        <v>1265.337045</v>
      </c>
      <c r="I24" s="7">
        <f t="shared" si="18"/>
        <v>132571.06946999999</v>
      </c>
      <c r="J24" s="7">
        <f t="shared" si="18"/>
        <v>56206.169932500001</v>
      </c>
      <c r="K24" s="7">
        <f t="shared" si="18"/>
        <v>49492.659352499999</v>
      </c>
      <c r="L24" s="7">
        <f t="shared" si="18"/>
        <v>72765.714420000004</v>
      </c>
      <c r="M24" s="7">
        <f t="shared" si="18"/>
        <v>43703.492489999997</v>
      </c>
      <c r="N24" s="7">
        <f>+N7*0.33075</f>
        <v>12467.006055</v>
      </c>
      <c r="O24" s="7">
        <f>SUM(C24:N24)</f>
        <v>517321.11930749996</v>
      </c>
      <c r="P24" s="7"/>
      <c r="Q24" s="7"/>
      <c r="R24" s="7"/>
      <c r="S24" s="7"/>
      <c r="T24" s="7"/>
      <c r="U24" s="7"/>
      <c r="V24" s="7"/>
      <c r="W24" s="7"/>
      <c r="X24" s="7"/>
    </row>
    <row r="25" spans="1:24">
      <c r="A25" s="1" t="s">
        <v>12</v>
      </c>
      <c r="C25" s="9">
        <f t="shared" ref="C25:M25" si="19">+C7*0.055</f>
        <v>8663.1880500000007</v>
      </c>
      <c r="D25" s="9">
        <f t="shared" si="19"/>
        <v>7276.5610499999993</v>
      </c>
      <c r="E25" s="9">
        <f t="shared" si="19"/>
        <v>742.52805000000001</v>
      </c>
      <c r="F25" s="9">
        <f>ROUND((+F7*0.055),2)-0.01</f>
        <v>6115.83</v>
      </c>
      <c r="G25" s="9">
        <f t="shared" si="19"/>
        <v>1953.9113000000002</v>
      </c>
      <c r="H25" s="9">
        <f t="shared" si="19"/>
        <v>210.41129999999998</v>
      </c>
      <c r="I25" s="9">
        <f t="shared" si="19"/>
        <v>22045.075799999999</v>
      </c>
      <c r="J25" s="9">
        <f t="shared" si="19"/>
        <v>9346.4530500000001</v>
      </c>
      <c r="K25" s="9">
        <f t="shared" si="19"/>
        <v>8230.0718500000003</v>
      </c>
      <c r="L25" s="9">
        <f t="shared" si="19"/>
        <v>12100.1188</v>
      </c>
      <c r="M25" s="9">
        <f t="shared" si="19"/>
        <v>7267.3985999999995</v>
      </c>
      <c r="N25" s="9">
        <f t="shared" ref="N25" si="20">+N7*0.055</f>
        <v>2073.1226999999999</v>
      </c>
      <c r="O25" s="9">
        <f>SUM(C25:N25)</f>
        <v>86024.67055000001</v>
      </c>
      <c r="P25" s="7"/>
      <c r="Q25" s="7"/>
      <c r="R25" s="7"/>
      <c r="S25" s="7"/>
      <c r="T25" s="7"/>
      <c r="U25" s="7"/>
      <c r="V25" s="7"/>
      <c r="W25" s="7"/>
      <c r="X25" s="7"/>
    </row>
    <row r="26" spans="1:24">
      <c r="A26" s="10" t="s">
        <v>16</v>
      </c>
      <c r="B26" s="10"/>
      <c r="C26" s="7">
        <f>SUM(C24:C25)</f>
        <v>60760.450732500001</v>
      </c>
      <c r="D26" s="7">
        <f t="shared" ref="D26:M26" si="21">SUM(D24:D25)</f>
        <v>51035.153182499991</v>
      </c>
      <c r="E26" s="7">
        <f t="shared" si="21"/>
        <v>5207.8217324999996</v>
      </c>
      <c r="F26" s="7">
        <f t="shared" si="21"/>
        <v>42894.240000000005</v>
      </c>
      <c r="G26" s="7">
        <f t="shared" si="21"/>
        <v>13704.023345</v>
      </c>
      <c r="H26" s="7">
        <f t="shared" si="21"/>
        <v>1475.748345</v>
      </c>
      <c r="I26" s="7">
        <f t="shared" si="21"/>
        <v>154616.14526999998</v>
      </c>
      <c r="J26" s="7">
        <f t="shared" si="21"/>
        <v>65552.622982500005</v>
      </c>
      <c r="K26" s="7">
        <f t="shared" si="21"/>
        <v>57722.731202499999</v>
      </c>
      <c r="L26" s="7">
        <f t="shared" si="21"/>
        <v>84865.83322</v>
      </c>
      <c r="M26" s="7">
        <f t="shared" si="21"/>
        <v>50970.891089999997</v>
      </c>
      <c r="N26" s="7">
        <f>SUM(N24:N25)</f>
        <v>14540.128755</v>
      </c>
      <c r="O26" s="7">
        <f>SUM(O24:O25)</f>
        <v>603345.7898575</v>
      </c>
      <c r="P26" s="7"/>
      <c r="Q26" s="7"/>
      <c r="R26" s="7"/>
      <c r="S26" s="7"/>
      <c r="T26" s="7"/>
      <c r="U26" s="7"/>
      <c r="V26" s="7"/>
      <c r="W26" s="7"/>
      <c r="X26" s="7"/>
    </row>
    <row r="27" spans="1:24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>
      <c r="A28" s="1" t="s">
        <v>11</v>
      </c>
      <c r="C28" s="7">
        <f>-C10*0.33075-0.01</f>
        <v>-40761.633385000001</v>
      </c>
      <c r="D28" s="7">
        <f>-D10*0.33075-0.01</f>
        <v>-35026.646679999998</v>
      </c>
      <c r="E28" s="7">
        <f t="shared" ref="E28:M28" si="22">-E10*0.33075</f>
        <v>-2721.7285199999997</v>
      </c>
      <c r="F28" s="7">
        <f>-ROUND((F10*0.33075),2)</f>
        <v>-16087.13</v>
      </c>
      <c r="G28" s="7">
        <f t="shared" si="22"/>
        <v>6871.1824124999985</v>
      </c>
      <c r="H28" s="7">
        <f t="shared" si="22"/>
        <v>-606.78071999999997</v>
      </c>
      <c r="I28" s="7">
        <f t="shared" si="22"/>
        <v>-75032.731147499988</v>
      </c>
      <c r="J28" s="7">
        <f t="shared" si="22"/>
        <v>-21485.880517500002</v>
      </c>
      <c r="K28" s="7">
        <f t="shared" si="22"/>
        <v>-11435.747400000007</v>
      </c>
      <c r="L28" s="7">
        <f t="shared" si="22"/>
        <v>-29797.436182500001</v>
      </c>
      <c r="M28" s="7">
        <f t="shared" si="22"/>
        <v>-14822.822542499998</v>
      </c>
      <c r="N28" s="7">
        <f>-N10*0.33075</f>
        <v>-8791.4176874999994</v>
      </c>
      <c r="O28" s="7">
        <f>SUM(C28:N28)</f>
        <v>-249698.77237000002</v>
      </c>
      <c r="P28" s="7"/>
      <c r="Q28" s="7"/>
      <c r="R28" s="7"/>
      <c r="S28" s="7"/>
      <c r="T28" s="7"/>
      <c r="U28" s="7"/>
      <c r="V28" s="7"/>
      <c r="W28" s="7"/>
      <c r="X28" s="7"/>
    </row>
    <row r="29" spans="1:24">
      <c r="A29" s="1" t="s">
        <v>12</v>
      </c>
      <c r="C29" s="9">
        <f t="shared" ref="C29:M29" si="23">-C10*0.055</f>
        <v>-6778.1989000000003</v>
      </c>
      <c r="D29" s="9">
        <f t="shared" si="23"/>
        <v>-5824.5351999999993</v>
      </c>
      <c r="E29" s="9">
        <f t="shared" si="23"/>
        <v>-452.59279999999995</v>
      </c>
      <c r="F29" s="9">
        <f>-ROUND((F10*0.055),2)+0.01</f>
        <v>-2675.1</v>
      </c>
      <c r="G29" s="9">
        <f t="shared" si="23"/>
        <v>1142.6002499999997</v>
      </c>
      <c r="H29" s="9">
        <f t="shared" si="23"/>
        <v>-100.9008</v>
      </c>
      <c r="I29" s="9">
        <f t="shared" si="23"/>
        <v>-12477.09815</v>
      </c>
      <c r="J29" s="9">
        <f t="shared" si="23"/>
        <v>-3572.85995</v>
      </c>
      <c r="K29" s="9">
        <f t="shared" si="23"/>
        <v>-1901.6360000000016</v>
      </c>
      <c r="L29" s="9">
        <f t="shared" si="23"/>
        <v>-4954.9780500000006</v>
      </c>
      <c r="M29" s="9">
        <f t="shared" si="23"/>
        <v>-2464.8684499999995</v>
      </c>
      <c r="N29" s="9">
        <f t="shared" ref="N29" si="24">-N10*0.055</f>
        <v>-1461.9137499999999</v>
      </c>
      <c r="O29" s="9">
        <f>SUM(C29:N29)</f>
        <v>-41522.081800000007</v>
      </c>
      <c r="P29" s="7"/>
      <c r="Q29" s="7"/>
      <c r="R29" s="7"/>
      <c r="S29" s="7"/>
      <c r="T29" s="7"/>
      <c r="U29" s="7"/>
      <c r="V29" s="7"/>
      <c r="W29" s="7"/>
      <c r="X29" s="7"/>
    </row>
    <row r="30" spans="1:24" s="11" customFormat="1">
      <c r="A30" s="11" t="s">
        <v>41</v>
      </c>
      <c r="B30" s="12" t="s">
        <v>23</v>
      </c>
      <c r="C30" s="12">
        <f>SUM(C28:C29)</f>
        <v>-47539.832285000004</v>
      </c>
      <c r="D30" s="12">
        <f t="shared" ref="D30:M30" si="25">SUM(D28:D29)</f>
        <v>-40851.181879999996</v>
      </c>
      <c r="E30" s="12">
        <f t="shared" si="25"/>
        <v>-3174.3213199999996</v>
      </c>
      <c r="F30" s="12">
        <f t="shared" si="25"/>
        <v>-18762.23</v>
      </c>
      <c r="G30" s="12">
        <f t="shared" si="25"/>
        <v>8013.782662499998</v>
      </c>
      <c r="H30" s="12">
        <f t="shared" si="25"/>
        <v>-707.68151999999998</v>
      </c>
      <c r="I30" s="12">
        <f>SUM(I28:I29)</f>
        <v>-87509.829297499993</v>
      </c>
      <c r="J30" s="12">
        <f t="shared" si="25"/>
        <v>-25058.7404675</v>
      </c>
      <c r="K30" s="12">
        <f t="shared" si="25"/>
        <v>-13337.38340000001</v>
      </c>
      <c r="L30" s="12">
        <f t="shared" si="25"/>
        <v>-34752.414232499999</v>
      </c>
      <c r="M30" s="12">
        <f t="shared" si="25"/>
        <v>-17287.690992499996</v>
      </c>
      <c r="N30" s="12">
        <f>SUM(N28:N29)</f>
        <v>-10253.331437499999</v>
      </c>
      <c r="O30" s="12">
        <f>SUM(O28:O29)</f>
        <v>-291220.85417000001</v>
      </c>
      <c r="P30" s="12" t="s">
        <v>23</v>
      </c>
      <c r="Q30" s="12"/>
      <c r="R30" s="12"/>
      <c r="S30" s="12"/>
      <c r="T30" s="12"/>
      <c r="U30" s="12"/>
      <c r="V30" s="12"/>
      <c r="W30" s="12"/>
      <c r="X30" s="12"/>
    </row>
    <row r="31" spans="1:24">
      <c r="A31" s="1" t="s">
        <v>40</v>
      </c>
      <c r="B31" s="10" t="s">
        <v>24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 t="s">
        <v>33</v>
      </c>
      <c r="Q31" s="7"/>
      <c r="R31" s="7"/>
      <c r="S31" s="7"/>
      <c r="T31" s="7"/>
      <c r="U31" s="7"/>
      <c r="V31" s="7"/>
      <c r="W31" s="7"/>
      <c r="X31" s="7"/>
    </row>
    <row r="32" spans="1:24">
      <c r="A32" s="1" t="s">
        <v>30</v>
      </c>
      <c r="B32" s="1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>
        <f>SUM(C32:N32)</f>
        <v>0</v>
      </c>
      <c r="P32" s="7"/>
      <c r="Q32" s="7"/>
      <c r="R32" s="7"/>
      <c r="S32" s="7"/>
      <c r="T32" s="7"/>
      <c r="U32" s="7"/>
      <c r="V32" s="7"/>
      <c r="W32" s="7"/>
      <c r="X32" s="7"/>
    </row>
    <row r="33" spans="1:24">
      <c r="A33" s="1" t="s">
        <v>32</v>
      </c>
      <c r="B33" s="10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>
        <f>SUM(C33:N33)</f>
        <v>0</v>
      </c>
      <c r="P33" s="7"/>
      <c r="Q33" s="7"/>
      <c r="R33" s="7"/>
      <c r="S33" s="7"/>
      <c r="T33" s="7"/>
      <c r="U33" s="7"/>
      <c r="V33" s="7"/>
      <c r="W33" s="7"/>
      <c r="X33" s="7"/>
    </row>
    <row r="34" spans="1:24" ht="16.5" thickBot="1">
      <c r="A34" s="1" t="s">
        <v>31</v>
      </c>
      <c r="B34" s="10"/>
      <c r="C34" s="13">
        <f t="shared" ref="C34:M34" si="26">C33-C32</f>
        <v>0</v>
      </c>
      <c r="D34" s="13">
        <f t="shared" si="26"/>
        <v>0</v>
      </c>
      <c r="E34" s="13">
        <f t="shared" si="26"/>
        <v>0</v>
      </c>
      <c r="F34" s="13">
        <f t="shared" si="26"/>
        <v>0</v>
      </c>
      <c r="G34" s="13">
        <f t="shared" si="26"/>
        <v>0</v>
      </c>
      <c r="H34" s="13">
        <f t="shared" si="26"/>
        <v>0</v>
      </c>
      <c r="I34" s="13">
        <f t="shared" si="26"/>
        <v>0</v>
      </c>
      <c r="J34" s="13">
        <f t="shared" si="26"/>
        <v>0</v>
      </c>
      <c r="K34" s="13">
        <f t="shared" si="26"/>
        <v>0</v>
      </c>
      <c r="L34" s="13">
        <f t="shared" si="26"/>
        <v>0</v>
      </c>
      <c r="M34" s="13">
        <f t="shared" si="26"/>
        <v>0</v>
      </c>
      <c r="N34" s="13">
        <f t="shared" ref="N34" si="27">N33-N32</f>
        <v>0</v>
      </c>
      <c r="O34" s="13">
        <f>SUM(C34:N34)</f>
        <v>0</v>
      </c>
      <c r="P34" s="7"/>
      <c r="Q34" s="7"/>
      <c r="R34" s="7"/>
      <c r="S34" s="7"/>
      <c r="T34" s="7"/>
      <c r="U34" s="7"/>
      <c r="V34" s="7"/>
      <c r="W34" s="7"/>
      <c r="X34" s="7"/>
    </row>
    <row r="35" spans="1:24" ht="16.5" thickTop="1">
      <c r="B35" s="10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>
      <c r="A36" s="1" t="s">
        <v>11</v>
      </c>
      <c r="C36" s="7">
        <f>+-C8*0.33075</f>
        <v>-10343.3892975</v>
      </c>
      <c r="D36" s="7">
        <f t="shared" ref="D36:M36" si="28">+-D8*0.33075</f>
        <v>-9724.2054525000003</v>
      </c>
      <c r="E36" s="7">
        <f t="shared" si="28"/>
        <v>-1602.1629224999999</v>
      </c>
      <c r="F36" s="7">
        <f t="shared" si="28"/>
        <v>-19109.590605000001</v>
      </c>
      <c r="G36" s="7">
        <f t="shared" si="28"/>
        <v>-1925.0939925</v>
      </c>
      <c r="H36" s="7">
        <f t="shared" si="28"/>
        <v>-553.17937499999994</v>
      </c>
      <c r="I36" s="7">
        <f>(+-I8*0.33075)+0.01</f>
        <v>-35248.950214999997</v>
      </c>
      <c r="J36" s="7">
        <f t="shared" si="28"/>
        <v>-24795.771840000001</v>
      </c>
      <c r="K36" s="7">
        <f t="shared" si="28"/>
        <v>-8218.2874725000001</v>
      </c>
      <c r="L36" s="7">
        <f t="shared" si="28"/>
        <v>-21531.140347500001</v>
      </c>
      <c r="M36" s="7">
        <f t="shared" si="28"/>
        <v>-7677.0316349999994</v>
      </c>
      <c r="N36" s="7">
        <f>+-N8*0.33075</f>
        <v>-1724.8347899999999</v>
      </c>
      <c r="O36" s="7">
        <f>SUM(C36:N36)</f>
        <v>-142453.63794499999</v>
      </c>
      <c r="P36" s="7"/>
      <c r="Q36" s="7"/>
      <c r="R36" s="7"/>
      <c r="S36" s="7"/>
      <c r="T36" s="7"/>
      <c r="U36" s="7"/>
      <c r="V36" s="7"/>
      <c r="W36" s="7"/>
      <c r="X36" s="7"/>
    </row>
    <row r="37" spans="1:24">
      <c r="A37" s="1" t="s">
        <v>12</v>
      </c>
      <c r="C37" s="9">
        <f t="shared" ref="C37:M37" si="29">+-C8*0.055</f>
        <v>-1719.9891499999999</v>
      </c>
      <c r="D37" s="9">
        <f t="shared" si="29"/>
        <v>-1617.02585</v>
      </c>
      <c r="E37" s="9">
        <f t="shared" si="29"/>
        <v>-266.42165</v>
      </c>
      <c r="F37" s="9">
        <f t="shared" si="29"/>
        <v>-3177.7096999999999</v>
      </c>
      <c r="G37" s="9">
        <f t="shared" si="29"/>
        <v>-320.12145000000004</v>
      </c>
      <c r="H37" s="9">
        <f t="shared" si="29"/>
        <v>-91.987499999999997</v>
      </c>
      <c r="I37" s="9">
        <f>(+-I8*0.055)+0.01</f>
        <v>-5861.4951000000001</v>
      </c>
      <c r="J37" s="9">
        <f t="shared" si="29"/>
        <v>-4123.2576000000008</v>
      </c>
      <c r="K37" s="9">
        <f t="shared" si="29"/>
        <v>-1366.6086500000001</v>
      </c>
      <c r="L37" s="9">
        <f t="shared" si="29"/>
        <v>-3580.3861499999998</v>
      </c>
      <c r="M37" s="9">
        <f t="shared" si="29"/>
        <v>-1276.6039000000001</v>
      </c>
      <c r="N37" s="9">
        <f t="shared" ref="N37" si="30">+-N8*0.055</f>
        <v>-286.82060000000001</v>
      </c>
      <c r="O37" s="9">
        <f>SUM(C37:N37)</f>
        <v>-23688.427300000003</v>
      </c>
      <c r="P37" s="7"/>
      <c r="Q37" s="7"/>
      <c r="R37" s="7"/>
      <c r="S37" s="7"/>
      <c r="T37" s="7"/>
      <c r="U37" s="7"/>
      <c r="V37" s="7"/>
      <c r="W37" s="7"/>
      <c r="X37" s="7"/>
    </row>
    <row r="38" spans="1:24" s="11" customFormat="1">
      <c r="A38" s="14" t="s">
        <v>43</v>
      </c>
      <c r="B38" s="12" t="s">
        <v>23</v>
      </c>
      <c r="C38" s="12">
        <f>SUM(C36:C37)</f>
        <v>-12063.378447499999</v>
      </c>
      <c r="D38" s="12">
        <f t="shared" ref="D38:M38" si="31">SUM(D36:D37)</f>
        <v>-11341.2313025</v>
      </c>
      <c r="E38" s="12">
        <f t="shared" si="31"/>
        <v>-1868.5845724999999</v>
      </c>
      <c r="F38" s="12">
        <f t="shared" si="31"/>
        <v>-22287.300305000001</v>
      </c>
      <c r="G38" s="12">
        <f>SUM(G36:G37)+0.01</f>
        <v>-2245.2054424999997</v>
      </c>
      <c r="H38" s="12">
        <f t="shared" si="31"/>
        <v>-645.16687499999989</v>
      </c>
      <c r="I38" s="12">
        <f t="shared" si="31"/>
        <v>-41110.445314999997</v>
      </c>
      <c r="J38" s="12">
        <f t="shared" si="31"/>
        <v>-28919.029440000002</v>
      </c>
      <c r="K38" s="12">
        <f t="shared" si="31"/>
        <v>-9584.8961225000003</v>
      </c>
      <c r="L38" s="12">
        <f t="shared" si="31"/>
        <v>-25111.526497499999</v>
      </c>
      <c r="M38" s="12">
        <f t="shared" si="31"/>
        <v>-8953.6355349999994</v>
      </c>
      <c r="N38" s="12">
        <f>SUM(N36:N37)</f>
        <v>-2011.6553899999999</v>
      </c>
      <c r="O38" s="12">
        <f t="shared" ref="O38" si="32">SUM(O36:O37)</f>
        <v>-166142.06524500001</v>
      </c>
      <c r="P38" s="12" t="s">
        <v>23</v>
      </c>
      <c r="Q38" s="12"/>
      <c r="R38" s="12"/>
      <c r="S38" s="12"/>
      <c r="T38" s="12"/>
      <c r="U38" s="12"/>
      <c r="V38" s="12"/>
      <c r="W38" s="12"/>
      <c r="X38" s="12"/>
    </row>
    <row r="39" spans="1:24">
      <c r="A39" s="1" t="s">
        <v>42</v>
      </c>
      <c r="B39" s="1" t="s">
        <v>24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>
      <c r="A40" s="1" t="s">
        <v>30</v>
      </c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>
        <f>SUM(C40:N40)</f>
        <v>0</v>
      </c>
      <c r="P40" s="7"/>
      <c r="Q40" s="7"/>
      <c r="R40" s="7"/>
      <c r="S40" s="7"/>
      <c r="T40" s="7"/>
      <c r="U40" s="7"/>
      <c r="V40" s="7"/>
      <c r="W40" s="7"/>
      <c r="X40" s="7"/>
    </row>
    <row r="41" spans="1:24">
      <c r="A41" s="1" t="s">
        <v>32</v>
      </c>
      <c r="B41" s="10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>
        <f>SUM(C41:N41)</f>
        <v>0</v>
      </c>
      <c r="P41" s="7"/>
      <c r="Q41" s="7"/>
      <c r="R41" s="7"/>
      <c r="S41" s="7"/>
      <c r="T41" s="7"/>
      <c r="U41" s="7"/>
      <c r="V41" s="7"/>
      <c r="W41" s="7"/>
      <c r="X41" s="7"/>
    </row>
    <row r="42" spans="1:24" ht="16.5" thickBot="1">
      <c r="A42" s="1" t="s">
        <v>31</v>
      </c>
      <c r="B42" s="10"/>
      <c r="C42" s="13">
        <f t="shared" ref="C42:M42" si="33">C41-C40</f>
        <v>0</v>
      </c>
      <c r="D42" s="13">
        <f t="shared" si="33"/>
        <v>0</v>
      </c>
      <c r="E42" s="13">
        <f t="shared" si="33"/>
        <v>0</v>
      </c>
      <c r="F42" s="13">
        <f t="shared" si="33"/>
        <v>0</v>
      </c>
      <c r="G42" s="13">
        <f t="shared" si="33"/>
        <v>0</v>
      </c>
      <c r="H42" s="13">
        <f t="shared" si="33"/>
        <v>0</v>
      </c>
      <c r="I42" s="13">
        <f t="shared" si="33"/>
        <v>0</v>
      </c>
      <c r="J42" s="13">
        <f t="shared" si="33"/>
        <v>0</v>
      </c>
      <c r="K42" s="13">
        <f t="shared" si="33"/>
        <v>0</v>
      </c>
      <c r="L42" s="13">
        <f t="shared" si="33"/>
        <v>0</v>
      </c>
      <c r="M42" s="13">
        <f t="shared" si="33"/>
        <v>0</v>
      </c>
      <c r="N42" s="13">
        <f t="shared" ref="N42" si="34">N41-N40</f>
        <v>0</v>
      </c>
      <c r="O42" s="13">
        <f>SUM(C42:N42)</f>
        <v>0</v>
      </c>
      <c r="P42" s="7"/>
      <c r="Q42" s="7"/>
      <c r="R42" s="7"/>
      <c r="S42" s="7"/>
      <c r="T42" s="7"/>
      <c r="U42" s="7"/>
      <c r="V42" s="7"/>
      <c r="W42" s="7"/>
      <c r="X42" s="7"/>
    </row>
    <row r="43" spans="1:24" ht="16.5" thickTop="1">
      <c r="B43" s="1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>
      <c r="A44" s="1" t="s">
        <v>22</v>
      </c>
      <c r="C44" s="15">
        <f t="shared" ref="C44:M44" si="35">+C14+C18+C22+C26+C30+C38</f>
        <v>1157.239999999998</v>
      </c>
      <c r="D44" s="15">
        <f t="shared" si="35"/>
        <v>-1157.2600000000057</v>
      </c>
      <c r="E44" s="15">
        <f t="shared" si="35"/>
        <v>0</v>
      </c>
      <c r="F44" s="15">
        <f t="shared" si="35"/>
        <v>-3.0499999411404133E-4</v>
      </c>
      <c r="G44" s="15">
        <f t="shared" si="35"/>
        <v>9.999999999308784E-3</v>
      </c>
      <c r="H44" s="15">
        <f t="shared" si="35"/>
        <v>0</v>
      </c>
      <c r="I44" s="15">
        <f t="shared" si="35"/>
        <v>1.9999999982246663E-2</v>
      </c>
      <c r="J44" s="15">
        <f t="shared" si="35"/>
        <v>0</v>
      </c>
      <c r="K44" s="15">
        <f t="shared" si="35"/>
        <v>0</v>
      </c>
      <c r="L44" s="15">
        <f t="shared" si="35"/>
        <v>0</v>
      </c>
      <c r="M44" s="15">
        <f t="shared" si="35"/>
        <v>0</v>
      </c>
      <c r="N44" s="15">
        <f t="shared" ref="N44:O44" si="36">+N14+N18+N22+N26+N30+N38</f>
        <v>0</v>
      </c>
      <c r="O44" s="15">
        <f t="shared" si="36"/>
        <v>-3.0499999411404133E-4</v>
      </c>
      <c r="P44" s="15">
        <f>SUM(C44:N44)</f>
        <v>9.694999979728891E-3</v>
      </c>
    </row>
    <row r="45" spans="1:24">
      <c r="B45" s="1" t="s">
        <v>11</v>
      </c>
      <c r="C45" s="15">
        <f t="shared" ref="C45:M45" si="37">+C28+C36</f>
        <v>-51105.022682499999</v>
      </c>
      <c r="D45" s="15">
        <f t="shared" si="37"/>
        <v>-44750.852132499997</v>
      </c>
      <c r="E45" s="15">
        <f t="shared" si="37"/>
        <v>-4323.8914424999994</v>
      </c>
      <c r="F45" s="15">
        <f t="shared" si="37"/>
        <v>-35196.720605000002</v>
      </c>
      <c r="G45" s="15">
        <f t="shared" si="37"/>
        <v>4946.0884199999982</v>
      </c>
      <c r="H45" s="15">
        <f t="shared" si="37"/>
        <v>-1159.9600949999999</v>
      </c>
      <c r="I45" s="15">
        <f t="shared" si="37"/>
        <v>-110281.68136249998</v>
      </c>
      <c r="J45" s="15">
        <f t="shared" si="37"/>
        <v>-46281.652357500003</v>
      </c>
      <c r="K45" s="15">
        <f t="shared" si="37"/>
        <v>-19654.034872500008</v>
      </c>
      <c r="L45" s="15">
        <f t="shared" si="37"/>
        <v>-51328.576530000006</v>
      </c>
      <c r="M45" s="15">
        <f t="shared" si="37"/>
        <v>-22499.854177499998</v>
      </c>
      <c r="N45" s="15">
        <f t="shared" ref="N45:O45" si="38">+N28+N36</f>
        <v>-10516.252477499998</v>
      </c>
      <c r="O45" s="15">
        <f t="shared" si="38"/>
        <v>-392152.41031499999</v>
      </c>
      <c r="P45" s="15">
        <f>SUM(C45:N45)</f>
        <v>-392152.41031499999</v>
      </c>
    </row>
    <row r="46" spans="1:24">
      <c r="B46" s="1" t="s">
        <v>12</v>
      </c>
      <c r="C46" s="16">
        <f t="shared" ref="C46:M46" si="39">+C37+C29</f>
        <v>-8498.1880500000007</v>
      </c>
      <c r="D46" s="16">
        <f t="shared" si="39"/>
        <v>-7441.5610499999993</v>
      </c>
      <c r="E46" s="16">
        <f t="shared" si="39"/>
        <v>-719.0144499999999</v>
      </c>
      <c r="F46" s="16">
        <f t="shared" si="39"/>
        <v>-5852.8096999999998</v>
      </c>
      <c r="G46" s="16">
        <f t="shared" si="39"/>
        <v>822.47879999999964</v>
      </c>
      <c r="H46" s="16">
        <f t="shared" si="39"/>
        <v>-192.88830000000002</v>
      </c>
      <c r="I46" s="16">
        <f t="shared" si="39"/>
        <v>-18338.593249999998</v>
      </c>
      <c r="J46" s="16">
        <f t="shared" si="39"/>
        <v>-7696.1175500000008</v>
      </c>
      <c r="K46" s="16">
        <f t="shared" si="39"/>
        <v>-3268.2446500000015</v>
      </c>
      <c r="L46" s="16">
        <f t="shared" si="39"/>
        <v>-8535.3642</v>
      </c>
      <c r="M46" s="16">
        <f t="shared" si="39"/>
        <v>-3741.4723499999996</v>
      </c>
      <c r="N46" s="16">
        <f t="shared" ref="N46" si="40">+N37+N29</f>
        <v>-1748.7343499999999</v>
      </c>
      <c r="O46" s="16">
        <f>+O29+O37</f>
        <v>-65210.50910000001</v>
      </c>
      <c r="P46" s="16">
        <f>SUM(C46:N46)</f>
        <v>-65210.509099999996</v>
      </c>
    </row>
    <row r="47" spans="1:24">
      <c r="C47" s="15">
        <f t="shared" ref="C47:M47" si="41">+C45+C46</f>
        <v>-59603.210732499996</v>
      </c>
      <c r="D47" s="15">
        <f t="shared" si="41"/>
        <v>-52192.413182499993</v>
      </c>
      <c r="E47" s="15">
        <f t="shared" si="41"/>
        <v>-5042.905892499999</v>
      </c>
      <c r="F47" s="15">
        <f t="shared" si="41"/>
        <v>-41049.530305</v>
      </c>
      <c r="G47" s="15">
        <f t="shared" si="41"/>
        <v>5768.5672199999981</v>
      </c>
      <c r="H47" s="15">
        <f t="shared" si="41"/>
        <v>-1352.848395</v>
      </c>
      <c r="I47" s="15">
        <f t="shared" si="41"/>
        <v>-128620.27461249998</v>
      </c>
      <c r="J47" s="15">
        <f t="shared" si="41"/>
        <v>-53977.769907500006</v>
      </c>
      <c r="K47" s="15">
        <f t="shared" si="41"/>
        <v>-22922.279522500008</v>
      </c>
      <c r="L47" s="15">
        <f t="shared" si="41"/>
        <v>-59863.940730000002</v>
      </c>
      <c r="M47" s="15">
        <f t="shared" si="41"/>
        <v>-26241.326527499998</v>
      </c>
      <c r="N47" s="15">
        <f t="shared" ref="N47:P47" si="42">+N45+N46</f>
        <v>-12264.986827499999</v>
      </c>
      <c r="O47" s="15">
        <f t="shared" si="42"/>
        <v>-457362.91941500001</v>
      </c>
      <c r="P47" s="15">
        <f t="shared" si="42"/>
        <v>-457362.91941500001</v>
      </c>
    </row>
    <row r="48" spans="1:24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>
      <c r="A49" s="1" t="s">
        <v>45</v>
      </c>
      <c r="C49" s="15">
        <v>-42501.25</v>
      </c>
      <c r="D49" s="15">
        <v>-563463.11</v>
      </c>
      <c r="E49" s="15">
        <v>-17337.88</v>
      </c>
      <c r="F49" s="15">
        <v>-16763.46</v>
      </c>
      <c r="G49" s="15">
        <v>-17363.510000000002</v>
      </c>
      <c r="H49" s="15">
        <v>-16138.310000000001</v>
      </c>
      <c r="I49" s="15">
        <v>-17021.28</v>
      </c>
      <c r="J49" s="15">
        <v>-19052.78</v>
      </c>
      <c r="K49" s="15">
        <v>-17713.39</v>
      </c>
      <c r="L49" s="15">
        <v>-16901.099999999999</v>
      </c>
      <c r="M49" s="15">
        <v>-16196.63</v>
      </c>
      <c r="N49" s="15">
        <v>-22766.6</v>
      </c>
      <c r="O49" s="15">
        <f>SUM(C49:N49)</f>
        <v>-783219.3</v>
      </c>
      <c r="P49" s="15"/>
    </row>
    <row r="50" spans="1:16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>
      <c r="A51" s="1" t="s">
        <v>44</v>
      </c>
      <c r="C51" s="17">
        <f>SUM(C49,C47)</f>
        <v>-102104.4607325</v>
      </c>
      <c r="D51" s="17">
        <f t="shared" ref="D51:N51" si="43">SUM(D49,D47)</f>
        <v>-615655.52318249992</v>
      </c>
      <c r="E51" s="17">
        <f t="shared" si="43"/>
        <v>-22380.7858925</v>
      </c>
      <c r="F51" s="17">
        <f t="shared" si="43"/>
        <v>-57812.990304999999</v>
      </c>
      <c r="G51" s="17">
        <f t="shared" si="43"/>
        <v>-11594.942780000005</v>
      </c>
      <c r="H51" s="17">
        <f t="shared" si="43"/>
        <v>-17491.158395000002</v>
      </c>
      <c r="I51" s="17">
        <f t="shared" si="43"/>
        <v>-145641.55461249998</v>
      </c>
      <c r="J51" s="17">
        <f t="shared" si="43"/>
        <v>-73030.549907500012</v>
      </c>
      <c r="K51" s="17">
        <f t="shared" si="43"/>
        <v>-40635.669522500008</v>
      </c>
      <c r="L51" s="17">
        <f t="shared" si="43"/>
        <v>-76765.040730000008</v>
      </c>
      <c r="M51" s="17">
        <f t="shared" si="43"/>
        <v>-42437.956527499999</v>
      </c>
      <c r="N51" s="17">
        <f t="shared" si="43"/>
        <v>-35031.586827499996</v>
      </c>
      <c r="O51" s="17">
        <f>SUM(C51:N51)</f>
        <v>-1240582.2194149999</v>
      </c>
    </row>
    <row r="52" spans="1:16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6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6">
      <c r="B54" s="18"/>
    </row>
    <row r="55" spans="1:16">
      <c r="A55" s="1" t="s">
        <v>46</v>
      </c>
      <c r="B55" s="1" t="s">
        <v>47</v>
      </c>
      <c r="C55" s="18"/>
    </row>
  </sheetData>
  <pageMargins left="0.75" right="0.75" top="1" bottom="1" header="0.5" footer="0.5"/>
  <pageSetup scale="50" orientation="landscape" r:id="rId1"/>
  <headerFooter alignWithMargins="0">
    <oddFooter>&amp;L&amp;10&amp;F\&amp;A&amp;R&amp;10&amp;D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</vt:lpstr>
      <vt:lpstr>'2010'!Print_Area</vt:lpstr>
    </vt:vector>
  </TitlesOfParts>
  <Company>Southern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PDShimel</dc:creator>
  <cp:lastModifiedBy>sajordan</cp:lastModifiedBy>
  <cp:lastPrinted>2011-10-08T20:58:52Z</cp:lastPrinted>
  <dcterms:created xsi:type="dcterms:W3CDTF">2008-06-05T21:10:12Z</dcterms:created>
  <dcterms:modified xsi:type="dcterms:W3CDTF">2011-10-20T19:23:10Z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2075217780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PDSHIMEL@southernco.com</vt:lpwstr>
  </property>
  <property fmtid="{D5CDD505-2E9C-101B-9397-08002B2CF9AE}" pid="6" name="_AuthorEmailDisplayName">
    <vt:lpwstr>Shimel, Paul D.</vt:lpwstr>
  </property>
  <property fmtid="{D5CDD505-2E9C-101B-9397-08002B2CF9AE}" pid="7" name="_PreviousAdHocReviewCycleID">
    <vt:i4>-1735606298</vt:i4>
  </property>
  <property fmtid="{D5CDD505-2E9C-101B-9397-08002B2CF9AE}" pid="8" name="_ReviewingToolsShownOnce">
    <vt:lpwstr/>
  </property>
</Properties>
</file>