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35" windowHeight="11760"/>
  </bookViews>
  <sheets>
    <sheet name="2008" sheetId="1" r:id="rId1"/>
    <sheet name="2009" sheetId="2" r:id="rId2"/>
    <sheet name="2010" sheetId="3" r:id="rId3"/>
    <sheet name="2011" sheetId="5" r:id="rId4"/>
    <sheet name="2012 TY" sheetId="6" r:id="rId5"/>
  </sheets>
  <externalReferences>
    <externalReference r:id="rId6"/>
  </externalReferences>
  <definedNames>
    <definedName name="_xlnm.Print_Area" localSheetId="0">'2008'!$A$1:$Q$47</definedName>
    <definedName name="_xlnm.Print_Area" localSheetId="1">'2009'!$A$1:$R$53</definedName>
    <definedName name="_xlnm.Print_Area" localSheetId="2">'2010'!$A$1:$S$54</definedName>
    <definedName name="_xlnm.Print_Area" localSheetId="3">'2011'!$A$1:$S$56</definedName>
    <definedName name="_xlnm.Print_Area" localSheetId="4">'2012 TY'!$A$1:$S$56</definedName>
  </definedNames>
  <calcPr calcId="125725"/>
</workbook>
</file>

<file path=xl/calcChain.xml><?xml version="1.0" encoding="utf-8"?>
<calcChain xmlns="http://schemas.openxmlformats.org/spreadsheetml/2006/main">
  <c r="K44" i="6"/>
  <c r="J43"/>
  <c r="J42"/>
  <c r="J44" s="1"/>
  <c r="F40"/>
  <c r="L39"/>
  <c r="J39"/>
  <c r="K39" s="1"/>
  <c r="H39"/>
  <c r="J38"/>
  <c r="K38" s="1"/>
  <c r="H38"/>
  <c r="P37"/>
  <c r="O37"/>
  <c r="Q37" s="1"/>
  <c r="J37"/>
  <c r="H37"/>
  <c r="L36"/>
  <c r="L37" s="1"/>
  <c r="H36"/>
  <c r="J36" s="1"/>
  <c r="K36" s="1"/>
  <c r="H35"/>
  <c r="J35" s="1"/>
  <c r="K35" s="1"/>
  <c r="J34"/>
  <c r="H34"/>
  <c r="H40" s="1"/>
  <c r="H32"/>
  <c r="J32" s="1"/>
  <c r="K32" s="1"/>
  <c r="J30"/>
  <c r="K30" s="1"/>
  <c r="H30"/>
  <c r="F28"/>
  <c r="K27"/>
  <c r="J27"/>
  <c r="H26"/>
  <c r="J26" s="1"/>
  <c r="K26" s="1"/>
  <c r="J25"/>
  <c r="K25" s="1"/>
  <c r="H25"/>
  <c r="H24"/>
  <c r="H28" s="1"/>
  <c r="J23"/>
  <c r="H23"/>
  <c r="F21"/>
  <c r="H21" s="1"/>
  <c r="J21" s="1"/>
  <c r="K21" s="1"/>
  <c r="F19"/>
  <c r="F46" s="1"/>
  <c r="J18"/>
  <c r="K18" s="1"/>
  <c r="H18"/>
  <c r="H17"/>
  <c r="J17" s="1"/>
  <c r="K17" s="1"/>
  <c r="J16"/>
  <c r="K16" s="1"/>
  <c r="H16"/>
  <c r="H15"/>
  <c r="J15" s="1"/>
  <c r="K15" s="1"/>
  <c r="J14"/>
  <c r="K14" s="1"/>
  <c r="H14"/>
  <c r="H13"/>
  <c r="J13" s="1"/>
  <c r="K13" s="1"/>
  <c r="J12"/>
  <c r="K12" s="1"/>
  <c r="H12"/>
  <c r="H11"/>
  <c r="J11" s="1"/>
  <c r="K11" s="1"/>
  <c r="F11"/>
  <c r="H10"/>
  <c r="H19" s="1"/>
  <c r="H46" s="1"/>
  <c r="K19" i="5"/>
  <c r="K44"/>
  <c r="J43"/>
  <c r="J42"/>
  <c r="J44" s="1"/>
  <c r="F40"/>
  <c r="L39"/>
  <c r="J39"/>
  <c r="K39" s="1"/>
  <c r="H39"/>
  <c r="J38"/>
  <c r="K38" s="1"/>
  <c r="H38"/>
  <c r="P37"/>
  <c r="O37"/>
  <c r="Q37" s="1"/>
  <c r="J37"/>
  <c r="H37"/>
  <c r="L36"/>
  <c r="L37" s="1"/>
  <c r="H36"/>
  <c r="J36" s="1"/>
  <c r="K36" s="1"/>
  <c r="H35"/>
  <c r="J35" s="1"/>
  <c r="K35" s="1"/>
  <c r="J34"/>
  <c r="H34"/>
  <c r="H40" s="1"/>
  <c r="H32"/>
  <c r="J32" s="1"/>
  <c r="K32" s="1"/>
  <c r="J30"/>
  <c r="K30" s="1"/>
  <c r="H30"/>
  <c r="F28"/>
  <c r="K27"/>
  <c r="J27"/>
  <c r="H26"/>
  <c r="J26" s="1"/>
  <c r="K26" s="1"/>
  <c r="J25"/>
  <c r="K25" s="1"/>
  <c r="H25"/>
  <c r="H24"/>
  <c r="H28" s="1"/>
  <c r="J23"/>
  <c r="H23"/>
  <c r="H21"/>
  <c r="J21" s="1"/>
  <c r="K21" s="1"/>
  <c r="K46" s="1"/>
  <c r="F21"/>
  <c r="H18"/>
  <c r="J18" s="1"/>
  <c r="K18" s="1"/>
  <c r="J17"/>
  <c r="K17" s="1"/>
  <c r="H17"/>
  <c r="H16"/>
  <c r="J16" s="1"/>
  <c r="K16" s="1"/>
  <c r="J15"/>
  <c r="K15" s="1"/>
  <c r="H15"/>
  <c r="H14"/>
  <c r="J14" s="1"/>
  <c r="K14" s="1"/>
  <c r="J13"/>
  <c r="K13" s="1"/>
  <c r="H13"/>
  <c r="H12"/>
  <c r="J12" s="1"/>
  <c r="K12" s="1"/>
  <c r="F11"/>
  <c r="F19" s="1"/>
  <c r="F46" s="1"/>
  <c r="J10"/>
  <c r="H10"/>
  <c r="K42" i="3"/>
  <c r="J41"/>
  <c r="J40"/>
  <c r="J42" s="1"/>
  <c r="F38"/>
  <c r="L37"/>
  <c r="J37"/>
  <c r="K37" s="1"/>
  <c r="H37"/>
  <c r="J36"/>
  <c r="K36" s="1"/>
  <c r="H36"/>
  <c r="P35"/>
  <c r="O35"/>
  <c r="Q35" s="1"/>
  <c r="J35"/>
  <c r="H35"/>
  <c r="L34"/>
  <c r="L35" s="1"/>
  <c r="H34"/>
  <c r="J34" s="1"/>
  <c r="K34" s="1"/>
  <c r="H33"/>
  <c r="J33" s="1"/>
  <c r="K33" s="1"/>
  <c r="J32"/>
  <c r="H32"/>
  <c r="H38" s="1"/>
  <c r="H30"/>
  <c r="J30" s="1"/>
  <c r="K30" s="1"/>
  <c r="J28"/>
  <c r="K28" s="1"/>
  <c r="H28"/>
  <c r="F26"/>
  <c r="K25"/>
  <c r="J25"/>
  <c r="H24"/>
  <c r="J24" s="1"/>
  <c r="K24" s="1"/>
  <c r="J23"/>
  <c r="K23" s="1"/>
  <c r="H23"/>
  <c r="H22"/>
  <c r="J22" s="1"/>
  <c r="K22" s="1"/>
  <c r="J21"/>
  <c r="H21"/>
  <c r="H26" s="1"/>
  <c r="K19"/>
  <c r="F19"/>
  <c r="F44" s="1"/>
  <c r="J18"/>
  <c r="K18" s="1"/>
  <c r="H18"/>
  <c r="H17"/>
  <c r="J17" s="1"/>
  <c r="K17" s="1"/>
  <c r="J16"/>
  <c r="K16" s="1"/>
  <c r="H16"/>
  <c r="H15"/>
  <c r="J15" s="1"/>
  <c r="K15" s="1"/>
  <c r="J14"/>
  <c r="K14" s="1"/>
  <c r="H14"/>
  <c r="H13"/>
  <c r="J13" s="1"/>
  <c r="K13" s="1"/>
  <c r="J12"/>
  <c r="K12" s="1"/>
  <c r="H12"/>
  <c r="H11"/>
  <c r="J11" s="1"/>
  <c r="K11" s="1"/>
  <c r="J10"/>
  <c r="K10" s="1"/>
  <c r="H10"/>
  <c r="H19" s="1"/>
  <c r="H44" s="1"/>
  <c r="K41" i="2"/>
  <c r="J40"/>
  <c r="J39"/>
  <c r="J41" s="1"/>
  <c r="F37"/>
  <c r="L36"/>
  <c r="J36"/>
  <c r="K36" s="1"/>
  <c r="H36"/>
  <c r="J35"/>
  <c r="K35" s="1"/>
  <c r="H35"/>
  <c r="O34"/>
  <c r="N34"/>
  <c r="P34" s="1"/>
  <c r="J34"/>
  <c r="H34"/>
  <c r="L33"/>
  <c r="L34" s="1"/>
  <c r="H33"/>
  <c r="J33" s="1"/>
  <c r="K33" s="1"/>
  <c r="H32"/>
  <c r="J32" s="1"/>
  <c r="K32" s="1"/>
  <c r="J31"/>
  <c r="H31"/>
  <c r="H37" s="1"/>
  <c r="H29"/>
  <c r="J29" s="1"/>
  <c r="K29" s="1"/>
  <c r="J27"/>
  <c r="K27" s="1"/>
  <c r="H27"/>
  <c r="F25"/>
  <c r="K24"/>
  <c r="J24"/>
  <c r="H23"/>
  <c r="J23" s="1"/>
  <c r="K23" s="1"/>
  <c r="J22"/>
  <c r="K22" s="1"/>
  <c r="H22"/>
  <c r="H21"/>
  <c r="H25" s="1"/>
  <c r="K19"/>
  <c r="F19"/>
  <c r="F43" s="1"/>
  <c r="H18"/>
  <c r="J18" s="1"/>
  <c r="K18" s="1"/>
  <c r="J17"/>
  <c r="K17" s="1"/>
  <c r="H17"/>
  <c r="H16"/>
  <c r="J16" s="1"/>
  <c r="K16" s="1"/>
  <c r="J15"/>
  <c r="K15" s="1"/>
  <c r="H15"/>
  <c r="H14"/>
  <c r="J14" s="1"/>
  <c r="K14" s="1"/>
  <c r="J13"/>
  <c r="K13" s="1"/>
  <c r="H13"/>
  <c r="H12"/>
  <c r="J12" s="1"/>
  <c r="K12" s="1"/>
  <c r="J11"/>
  <c r="K11" s="1"/>
  <c r="H11"/>
  <c r="H10"/>
  <c r="H19" s="1"/>
  <c r="H43" s="1"/>
  <c r="K45" i="1"/>
  <c r="J44"/>
  <c r="J43"/>
  <c r="J45" s="1"/>
  <c r="F41"/>
  <c r="J40"/>
  <c r="K40" s="1"/>
  <c r="H40"/>
  <c r="J39"/>
  <c r="K39" s="1"/>
  <c r="H39"/>
  <c r="J38"/>
  <c r="K38" s="1"/>
  <c r="H38"/>
  <c r="J37"/>
  <c r="K37" s="1"/>
  <c r="H37"/>
  <c r="J36"/>
  <c r="J41" s="1"/>
  <c r="H36"/>
  <c r="H41" s="1"/>
  <c r="H34"/>
  <c r="J34" s="1"/>
  <c r="K34" s="1"/>
  <c r="J32"/>
  <c r="K32" s="1"/>
  <c r="H32"/>
  <c r="F30"/>
  <c r="H29"/>
  <c r="J29" s="1"/>
  <c r="K29" s="1"/>
  <c r="J28"/>
  <c r="K28" s="1"/>
  <c r="H28"/>
  <c r="H27"/>
  <c r="J27" s="1"/>
  <c r="F25"/>
  <c r="H25" s="1"/>
  <c r="J23"/>
  <c r="K23" s="1"/>
  <c r="H23"/>
  <c r="H22"/>
  <c r="J22" s="1"/>
  <c r="K22" s="1"/>
  <c r="J21"/>
  <c r="K21" s="1"/>
  <c r="K25" s="1"/>
  <c r="H21"/>
  <c r="K19"/>
  <c r="J18"/>
  <c r="K18" s="1"/>
  <c r="H18"/>
  <c r="H17"/>
  <c r="J17" s="1"/>
  <c r="K17" s="1"/>
  <c r="J16"/>
  <c r="K16" s="1"/>
  <c r="H16"/>
  <c r="H15"/>
  <c r="J15" s="1"/>
  <c r="K15" s="1"/>
  <c r="J14"/>
  <c r="K14" s="1"/>
  <c r="H14"/>
  <c r="H13"/>
  <c r="J13" s="1"/>
  <c r="K13" s="1"/>
  <c r="J12"/>
  <c r="K12" s="1"/>
  <c r="H12"/>
  <c r="H11"/>
  <c r="J11" s="1"/>
  <c r="K11" s="1"/>
  <c r="F11"/>
  <c r="F19" s="1"/>
  <c r="F47" s="1"/>
  <c r="H10"/>
  <c r="H19" s="1"/>
  <c r="O36" i="6" l="1"/>
  <c r="Q36" s="1"/>
  <c r="P36"/>
  <c r="J40"/>
  <c r="P35"/>
  <c r="O35"/>
  <c r="Q35" s="1"/>
  <c r="O38"/>
  <c r="Q38" s="1"/>
  <c r="P38"/>
  <c r="P39"/>
  <c r="O39"/>
  <c r="Q39" s="1"/>
  <c r="K23"/>
  <c r="K28" s="1"/>
  <c r="J24"/>
  <c r="K24" s="1"/>
  <c r="K34"/>
  <c r="J10"/>
  <c r="O36" i="5"/>
  <c r="Q36" s="1"/>
  <c r="P36"/>
  <c r="J40"/>
  <c r="P35"/>
  <c r="O35"/>
  <c r="Q35" s="1"/>
  <c r="O38"/>
  <c r="P38"/>
  <c r="Q38" s="1"/>
  <c r="P39"/>
  <c r="Q39"/>
  <c r="O39"/>
  <c r="K10"/>
  <c r="H11"/>
  <c r="J11" s="1"/>
  <c r="K11" s="1"/>
  <c r="K23"/>
  <c r="J24"/>
  <c r="K24" s="1"/>
  <c r="K34"/>
  <c r="O34" i="3"/>
  <c r="P34"/>
  <c r="Q34" s="1"/>
  <c r="J26"/>
  <c r="J44" s="1"/>
  <c r="J38"/>
  <c r="P33"/>
  <c r="O33"/>
  <c r="Q33" s="1"/>
  <c r="O36"/>
  <c r="Q36" s="1"/>
  <c r="P36"/>
  <c r="P37"/>
  <c r="O37"/>
  <c r="Q37" s="1"/>
  <c r="K21"/>
  <c r="K26" s="1"/>
  <c r="K32"/>
  <c r="N33" i="2"/>
  <c r="P33" s="1"/>
  <c r="O33"/>
  <c r="J37"/>
  <c r="O32"/>
  <c r="N32"/>
  <c r="P32" s="1"/>
  <c r="N35"/>
  <c r="P35" s="1"/>
  <c r="O35"/>
  <c r="O36"/>
  <c r="N36"/>
  <c r="P36" s="1"/>
  <c r="J10"/>
  <c r="K10" s="1"/>
  <c r="J21"/>
  <c r="K31"/>
  <c r="O37" i="1"/>
  <c r="N37"/>
  <c r="P37" s="1"/>
  <c r="O38"/>
  <c r="N38"/>
  <c r="P38" s="1"/>
  <c r="O39"/>
  <c r="P39"/>
  <c r="N39"/>
  <c r="O40"/>
  <c r="N40"/>
  <c r="P40" s="1"/>
  <c r="J30"/>
  <c r="K27"/>
  <c r="K30" s="1"/>
  <c r="J25"/>
  <c r="J47" s="1"/>
  <c r="H30"/>
  <c r="H47" s="1"/>
  <c r="J10"/>
  <c r="K10" s="1"/>
  <c r="K36"/>
  <c r="J19" i="6" l="1"/>
  <c r="K10"/>
  <c r="O34"/>
  <c r="O40" s="1"/>
  <c r="O46" s="1"/>
  <c r="K40"/>
  <c r="Q34"/>
  <c r="Q40" s="1"/>
  <c r="P40"/>
  <c r="P46" s="1"/>
  <c r="J28"/>
  <c r="O34" i="5"/>
  <c r="O40" s="1"/>
  <c r="O46" s="1"/>
  <c r="K40"/>
  <c r="Q34"/>
  <c r="Q40" s="1"/>
  <c r="K28"/>
  <c r="P40"/>
  <c r="P46" s="1"/>
  <c r="J28"/>
  <c r="J19"/>
  <c r="H19"/>
  <c r="H46" s="1"/>
  <c r="K44" i="3"/>
  <c r="P38"/>
  <c r="P44" s="1"/>
  <c r="O32"/>
  <c r="O38" s="1"/>
  <c r="O44" s="1"/>
  <c r="K38"/>
  <c r="Q32"/>
  <c r="Q38" s="1"/>
  <c r="N31" i="2"/>
  <c r="N37" s="1"/>
  <c r="N43" s="1"/>
  <c r="K37"/>
  <c r="P31"/>
  <c r="P37" s="1"/>
  <c r="K21"/>
  <c r="K25" s="1"/>
  <c r="K43" s="1"/>
  <c r="J25"/>
  <c r="J43" s="1"/>
  <c r="O37"/>
  <c r="O43" s="1"/>
  <c r="O36" i="1"/>
  <c r="O41" s="1"/>
  <c r="O47" s="1"/>
  <c r="K41"/>
  <c r="K47" s="1"/>
  <c r="P47" s="1"/>
  <c r="N36"/>
  <c r="N41" s="1"/>
  <c r="N47" s="1"/>
  <c r="K19" i="6" l="1"/>
  <c r="K46" s="1"/>
  <c r="Q46" s="1"/>
  <c r="J46"/>
  <c r="Q46" i="5"/>
  <c r="J46"/>
  <c r="Q44" i="3"/>
  <c r="P43" i="2"/>
  <c r="P36" i="1"/>
  <c r="P41" s="1"/>
</calcChain>
</file>

<file path=xl/comments1.xml><?xml version="1.0" encoding="utf-8"?>
<comments xmlns="http://schemas.openxmlformats.org/spreadsheetml/2006/main">
  <authors>
    <author>Information Technology</author>
  </authors>
  <commentList>
    <comment ref="E10" authorId="0">
      <text>
        <r>
          <rPr>
            <b/>
            <sz val="8"/>
            <color indexed="81"/>
            <rFont val="Tahoma"/>
            <family val="2"/>
          </rPr>
          <t xml:space="preserve">B.Hughes:  </t>
        </r>
        <r>
          <rPr>
            <sz val="8"/>
            <color indexed="81"/>
            <rFont val="Tahoma"/>
            <family val="2"/>
          </rPr>
          <t xml:space="preserve">Contact Debbie Deatherage, IT dept, to verify space allocation.
</t>
        </r>
      </text>
    </comment>
    <comment ref="K19" authorId="0">
      <text>
        <r>
          <rPr>
            <b/>
            <sz val="8"/>
            <color indexed="81"/>
            <rFont val="Tahoma"/>
            <family val="2"/>
          </rPr>
          <t xml:space="preserve">B.Hughes:  </t>
        </r>
        <r>
          <rPr>
            <sz val="8"/>
            <color indexed="81"/>
            <rFont val="Tahoma"/>
            <family val="2"/>
          </rPr>
          <t>Cannot calculate the break down based on Barbara Gambill's file.  Received amounts and breakdown from Debbie Deatherage.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1" authorId="0">
      <text>
        <r>
          <rPr>
            <b/>
            <sz val="8"/>
            <color indexed="81"/>
            <rFont val="Tahoma"/>
            <family val="2"/>
          </rPr>
          <t xml:space="preserve">B.Hughes:  </t>
        </r>
        <r>
          <rPr>
            <sz val="8"/>
            <color indexed="81"/>
            <rFont val="Tahoma"/>
            <family val="2"/>
          </rPr>
          <t>Contact Patti Baker, HR dept, to verify space allocation.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7" authorId="0">
      <text>
        <r>
          <rPr>
            <b/>
            <sz val="8"/>
            <color indexed="81"/>
            <rFont val="Tahoma"/>
            <family val="2"/>
          </rPr>
          <t xml:space="preserve">B.Hughes:  </t>
        </r>
        <r>
          <rPr>
            <sz val="8"/>
            <color indexed="81"/>
            <rFont val="Tahoma"/>
            <family val="2"/>
          </rPr>
          <t>Contact Vicki Mack, Generation, to verify space allocation.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2" authorId="0">
      <text>
        <r>
          <rPr>
            <b/>
            <sz val="8"/>
            <color indexed="81"/>
            <rFont val="Tahoma"/>
            <family val="2"/>
          </rPr>
          <t xml:space="preserve">B.Hughes:  </t>
        </r>
        <r>
          <rPr>
            <sz val="8"/>
            <color indexed="81"/>
            <rFont val="Tahoma"/>
            <family val="2"/>
          </rPr>
          <t xml:space="preserve">Did not contact Auditing.  Contact may be Deborah Munro.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B.Hughes:  </t>
        </r>
        <r>
          <rPr>
            <sz val="8"/>
            <color indexed="81"/>
            <rFont val="Tahoma"/>
            <family val="2"/>
          </rPr>
          <t>Did not contact SCM.  Contact may be Bob Thompson.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6" authorId="0">
      <text>
        <r>
          <rPr>
            <b/>
            <sz val="8"/>
            <color indexed="81"/>
            <rFont val="Tahoma"/>
            <family val="2"/>
          </rPr>
          <t xml:space="preserve">B.Hughes:  </t>
        </r>
        <r>
          <rPr>
            <sz val="8"/>
            <color indexed="81"/>
            <rFont val="Tahoma"/>
            <family val="2"/>
          </rPr>
          <t xml:space="preserve">Did not contact Southern Communication.  Unknown contact
</t>
        </r>
      </text>
    </comment>
    <comment ref="O38" authorId="0">
      <text>
        <r>
          <rPr>
            <b/>
            <sz val="8"/>
            <color indexed="81"/>
            <rFont val="Tahoma"/>
            <family val="2"/>
          </rPr>
          <t xml:space="preserve">B.Hughes: </t>
        </r>
        <r>
          <rPr>
            <sz val="8"/>
            <color indexed="81"/>
            <rFont val="Tahoma"/>
            <family val="2"/>
          </rPr>
          <t>This area has a different tax rate.  The 1.5% for Pensacola has not been used.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40" authorId="0">
      <text>
        <r>
          <rPr>
            <b/>
            <sz val="8"/>
            <color indexed="81"/>
            <rFont val="Tahoma"/>
            <family val="2"/>
          </rPr>
          <t xml:space="preserve">B.Hughes: </t>
        </r>
        <r>
          <rPr>
            <sz val="8"/>
            <color indexed="81"/>
            <rFont val="Tahoma"/>
            <family val="2"/>
          </rPr>
          <t>This area has a different tax rate.  The 1.5% for Pensacola has not been used.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41" authorId="0">
      <text>
        <r>
          <rPr>
            <b/>
            <sz val="8"/>
            <color indexed="81"/>
            <rFont val="Tahoma"/>
            <family val="2"/>
          </rPr>
          <t xml:space="preserve">B.Hughes: </t>
        </r>
        <r>
          <rPr>
            <sz val="8"/>
            <color indexed="81"/>
            <rFont val="Tahoma"/>
            <family val="2"/>
          </rPr>
          <t>This area has a different tax rate.  The 1.5% for Pensacola has not been used.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3" authorId="0">
      <text>
        <r>
          <rPr>
            <b/>
            <sz val="8"/>
            <color indexed="81"/>
            <rFont val="Tahoma"/>
            <family val="2"/>
          </rPr>
          <t xml:space="preserve">B.Hughes:  </t>
        </r>
        <r>
          <rPr>
            <sz val="8"/>
            <color indexed="81"/>
            <rFont val="Tahoma"/>
            <family val="2"/>
          </rPr>
          <t>Location description changed per David Hindsman.  He is the contact for space allocation updates.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ddangelo</author>
    <author>Information Technology</author>
    <author>ddangell</author>
    <author>BOHUGHES</author>
  </authors>
  <commentList>
    <comment ref="G6" authorId="0">
      <text>
        <r>
          <rPr>
            <b/>
            <sz val="8"/>
            <color indexed="81"/>
            <rFont val="Tahoma"/>
            <family val="2"/>
          </rPr>
          <t>ddangelo:</t>
        </r>
        <r>
          <rPr>
            <sz val="8"/>
            <color indexed="81"/>
            <rFont val="Tahoma"/>
            <family val="2"/>
          </rPr>
          <t xml:space="preserve">
Common areas</t>
        </r>
      </text>
    </comment>
    <comment ref="I6" authorId="0">
      <text>
        <r>
          <rPr>
            <b/>
            <sz val="8"/>
            <color indexed="81"/>
            <rFont val="Tahoma"/>
            <family val="2"/>
          </rPr>
          <t>ddangelo:</t>
        </r>
        <r>
          <rPr>
            <sz val="8"/>
            <color indexed="81"/>
            <rFont val="Tahoma"/>
            <family val="2"/>
          </rPr>
          <t xml:space="preserve">
$/sq. foot</t>
        </r>
      </text>
    </comment>
    <comment ref="E10" authorId="1">
      <text>
        <r>
          <rPr>
            <b/>
            <sz val="8"/>
            <color indexed="81"/>
            <rFont val="Tahoma"/>
            <family val="2"/>
          </rPr>
          <t xml:space="preserve">B.Hughes:  </t>
        </r>
        <r>
          <rPr>
            <sz val="8"/>
            <color indexed="81"/>
            <rFont val="Tahoma"/>
            <family val="2"/>
          </rPr>
          <t xml:space="preserve">Contact Debbie Deatherage, IT dept, to verify space allocation.
</t>
        </r>
      </text>
    </comment>
    <comment ref="K19" authorId="1">
      <text>
        <r>
          <rPr>
            <b/>
            <sz val="8"/>
            <color indexed="81"/>
            <rFont val="Tahoma"/>
            <family val="2"/>
          </rPr>
          <t xml:space="preserve">B.Hughes:  </t>
        </r>
        <r>
          <rPr>
            <sz val="8"/>
            <color indexed="81"/>
            <rFont val="Tahoma"/>
            <family val="2"/>
          </rPr>
          <t>Cannot calculate the break down based on Barbara Gambill's file.  Received amounts and breakdown from Debbie Deatherage.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1" authorId="1">
      <text>
        <r>
          <rPr>
            <b/>
            <sz val="8"/>
            <color indexed="81"/>
            <rFont val="Tahoma"/>
            <family val="2"/>
          </rPr>
          <t xml:space="preserve">B.Hughes:  </t>
        </r>
        <r>
          <rPr>
            <sz val="8"/>
            <color indexed="81"/>
            <rFont val="Tahoma"/>
            <family val="2"/>
          </rPr>
          <t>Contact Vicki Mack, Generation, to verify space allocation.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7" authorId="1">
      <text>
        <r>
          <rPr>
            <b/>
            <sz val="8"/>
            <color indexed="81"/>
            <rFont val="Tahoma"/>
            <family val="2"/>
          </rPr>
          <t xml:space="preserve">B.Hughes:  </t>
        </r>
        <r>
          <rPr>
            <sz val="8"/>
            <color indexed="81"/>
            <rFont val="Tahoma"/>
            <family val="2"/>
          </rPr>
          <t xml:space="preserve">Did not contact Auditing.  Contact may be Deborah Munro.
</t>
        </r>
      </text>
    </comment>
    <comment ref="E29" authorId="1">
      <text>
        <r>
          <rPr>
            <b/>
            <sz val="8"/>
            <color indexed="81"/>
            <rFont val="Tahoma"/>
            <family val="2"/>
          </rPr>
          <t xml:space="preserve">B.Hughes:  </t>
        </r>
        <r>
          <rPr>
            <sz val="8"/>
            <color indexed="81"/>
            <rFont val="Tahoma"/>
            <family val="2"/>
          </rPr>
          <t>Did not contact SCM.  Contact may be Bob Thompson.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31" authorId="2">
      <text>
        <r>
          <rPr>
            <b/>
            <sz val="8"/>
            <color indexed="81"/>
            <rFont val="Tahoma"/>
            <family val="2"/>
          </rPr>
          <t>ddangell:</t>
        </r>
        <r>
          <rPr>
            <sz val="8"/>
            <color indexed="81"/>
            <rFont val="Tahoma"/>
            <family val="2"/>
          </rPr>
          <t xml:space="preserve">
No Local Option Sales Tax for Crestview since it is in Okalooa County per David Ranney</t>
        </r>
      </text>
    </comment>
    <comment ref="E32" authorId="1">
      <text>
        <r>
          <rPr>
            <b/>
            <sz val="8"/>
            <color indexed="81"/>
            <rFont val="Tahoma"/>
            <family val="2"/>
          </rPr>
          <t xml:space="preserve">B.Hughes:  </t>
        </r>
        <r>
          <rPr>
            <sz val="8"/>
            <color indexed="81"/>
            <rFont val="Tahoma"/>
            <family val="2"/>
          </rPr>
          <t xml:space="preserve">Did not contact Southern Communication.  Unknown contact
</t>
        </r>
      </text>
    </comment>
    <comment ref="O34" authorId="1">
      <text>
        <r>
          <rPr>
            <b/>
            <sz val="8"/>
            <color indexed="81"/>
            <rFont val="Tahoma"/>
            <family val="2"/>
          </rPr>
          <t xml:space="preserve">B.Hughes:  </t>
        </r>
        <r>
          <rPr>
            <sz val="8"/>
            <color indexed="81"/>
            <rFont val="Tahoma"/>
            <family val="2"/>
          </rPr>
          <t>Local Option tax of 1% for Walton County (includes DeFuniak Springs).  No expiration date.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35" authorId="3">
      <text>
        <r>
          <rPr>
            <b/>
            <sz val="8"/>
            <color indexed="81"/>
            <rFont val="Tahoma"/>
            <family val="2"/>
          </rPr>
          <t>BOHUGHES:</t>
        </r>
        <r>
          <rPr>
            <sz val="8"/>
            <color indexed="81"/>
            <rFont val="Tahoma"/>
            <family val="2"/>
          </rPr>
          <t xml:space="preserve"> Local Option Tax of 1.5% for Escambia County.  Expires Dec 2017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36" authorId="1">
      <text>
        <r>
          <rPr>
            <b/>
            <sz val="8"/>
            <color indexed="81"/>
            <rFont val="Tahoma"/>
            <family val="2"/>
          </rPr>
          <t xml:space="preserve">B.Hughes: </t>
        </r>
        <r>
          <rPr>
            <sz val="8"/>
            <color indexed="81"/>
            <rFont val="Tahoma"/>
            <family val="2"/>
          </rPr>
          <t>Local Option tax expired for Panama City in April 2008.  No new tax rate.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9" authorId="1">
      <text>
        <r>
          <rPr>
            <b/>
            <sz val="8"/>
            <color indexed="81"/>
            <rFont val="Tahoma"/>
            <family val="2"/>
          </rPr>
          <t xml:space="preserve">B.Hughes:  </t>
        </r>
        <r>
          <rPr>
            <sz val="8"/>
            <color indexed="81"/>
            <rFont val="Tahoma"/>
            <family val="2"/>
          </rPr>
          <t>Location description changed per David Hindsman.  He is the contact for space allocation updates.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ddangelo</author>
    <author>Information Technology</author>
    <author>ddangell</author>
    <author>BOHUGHES</author>
  </authors>
  <commentList>
    <comment ref="G6" authorId="0">
      <text>
        <r>
          <rPr>
            <b/>
            <sz val="8"/>
            <color indexed="81"/>
            <rFont val="Tahoma"/>
            <family val="2"/>
          </rPr>
          <t>ddangelo:</t>
        </r>
        <r>
          <rPr>
            <sz val="8"/>
            <color indexed="81"/>
            <rFont val="Tahoma"/>
            <family val="2"/>
          </rPr>
          <t xml:space="preserve">
Common areas</t>
        </r>
      </text>
    </comment>
    <comment ref="I6" authorId="0">
      <text>
        <r>
          <rPr>
            <b/>
            <sz val="8"/>
            <color indexed="81"/>
            <rFont val="Tahoma"/>
            <family val="2"/>
          </rPr>
          <t>ddangelo:</t>
        </r>
        <r>
          <rPr>
            <sz val="8"/>
            <color indexed="81"/>
            <rFont val="Tahoma"/>
            <family val="2"/>
          </rPr>
          <t xml:space="preserve">
$/sq. foot</t>
        </r>
      </text>
    </comment>
    <comment ref="E10" authorId="1">
      <text>
        <r>
          <rPr>
            <b/>
            <sz val="8"/>
            <color indexed="81"/>
            <rFont val="Tahoma"/>
            <family val="2"/>
          </rPr>
          <t xml:space="preserve">B.Hughes:  </t>
        </r>
        <r>
          <rPr>
            <sz val="8"/>
            <color indexed="81"/>
            <rFont val="Tahoma"/>
            <family val="2"/>
          </rPr>
          <t xml:space="preserve">Contact Debbie Deatherage, IT dept, to verify space allocation.
</t>
        </r>
      </text>
    </comment>
    <comment ref="K19" authorId="1">
      <text>
        <r>
          <rPr>
            <b/>
            <sz val="8"/>
            <color indexed="81"/>
            <rFont val="Tahoma"/>
            <family val="2"/>
          </rPr>
          <t xml:space="preserve">B.Hughes:  </t>
        </r>
        <r>
          <rPr>
            <sz val="8"/>
            <color indexed="81"/>
            <rFont val="Tahoma"/>
            <family val="2"/>
          </rPr>
          <t>Cannot calculate the break down based on Barbara Gambill's file.  Received amounts and breakdown from Debbie Deatherage.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1" authorId="1">
      <text>
        <r>
          <rPr>
            <b/>
            <sz val="8"/>
            <color indexed="81"/>
            <rFont val="Tahoma"/>
            <family val="2"/>
          </rPr>
          <t xml:space="preserve">B.Hughes:  </t>
        </r>
        <r>
          <rPr>
            <sz val="8"/>
            <color indexed="81"/>
            <rFont val="Tahoma"/>
            <family val="2"/>
          </rPr>
          <t>Contact Vicki Mack, Generation, to verify space allocation.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8" authorId="1">
      <text>
        <r>
          <rPr>
            <b/>
            <sz val="8"/>
            <color indexed="81"/>
            <rFont val="Tahoma"/>
            <family val="2"/>
          </rPr>
          <t xml:space="preserve">B.Hughes:  </t>
        </r>
        <r>
          <rPr>
            <sz val="8"/>
            <color indexed="81"/>
            <rFont val="Tahoma"/>
            <family val="2"/>
          </rPr>
          <t xml:space="preserve">Did not contact Auditing.  Contact may be Deborah Munro.
</t>
        </r>
      </text>
    </comment>
    <comment ref="E30" authorId="1">
      <text>
        <r>
          <rPr>
            <b/>
            <sz val="8"/>
            <color indexed="81"/>
            <rFont val="Tahoma"/>
            <family val="2"/>
          </rPr>
          <t xml:space="preserve">B.Hughes:  </t>
        </r>
        <r>
          <rPr>
            <sz val="8"/>
            <color indexed="81"/>
            <rFont val="Tahoma"/>
            <family val="2"/>
          </rPr>
          <t>Did not contact SCM.  Contact may be Bob Thompson.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32" authorId="2">
      <text>
        <r>
          <rPr>
            <b/>
            <sz val="8"/>
            <color indexed="81"/>
            <rFont val="Tahoma"/>
            <family val="2"/>
          </rPr>
          <t>ddangell:</t>
        </r>
        <r>
          <rPr>
            <sz val="8"/>
            <color indexed="81"/>
            <rFont val="Tahoma"/>
            <family val="2"/>
          </rPr>
          <t xml:space="preserve">
No Local Option Sales Tax for Crestview since it is in Okalooa County per David Ranney</t>
        </r>
      </text>
    </comment>
    <comment ref="E33" authorId="1">
      <text>
        <r>
          <rPr>
            <b/>
            <sz val="8"/>
            <color indexed="81"/>
            <rFont val="Tahoma"/>
            <family val="2"/>
          </rPr>
          <t xml:space="preserve">B.Hughes:  </t>
        </r>
        <r>
          <rPr>
            <sz val="8"/>
            <color indexed="81"/>
            <rFont val="Tahoma"/>
            <family val="2"/>
          </rPr>
          <t xml:space="preserve">Did not contact Southern Communication.  Unknown contact
</t>
        </r>
      </text>
    </comment>
    <comment ref="P35" authorId="1">
      <text>
        <r>
          <rPr>
            <b/>
            <sz val="8"/>
            <color indexed="81"/>
            <rFont val="Tahoma"/>
            <family val="2"/>
          </rPr>
          <t xml:space="preserve">B.Hughes:  </t>
        </r>
        <r>
          <rPr>
            <sz val="8"/>
            <color indexed="81"/>
            <rFont val="Tahoma"/>
            <family val="2"/>
          </rPr>
          <t>Local Option tax of 1% for Walton County (includes DeFuniak Springs).  No expiration date.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36" authorId="3">
      <text>
        <r>
          <rPr>
            <b/>
            <sz val="8"/>
            <color indexed="81"/>
            <rFont val="Tahoma"/>
            <family val="2"/>
          </rPr>
          <t>BOHUGHES:</t>
        </r>
        <r>
          <rPr>
            <sz val="8"/>
            <color indexed="81"/>
            <rFont val="Tahoma"/>
            <family val="2"/>
          </rPr>
          <t xml:space="preserve"> Local Option Tax of 1.5% for Escambia County.  Expires Dec 2017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37" authorId="1">
      <text>
        <r>
          <rPr>
            <b/>
            <sz val="8"/>
            <color indexed="81"/>
            <rFont val="Tahoma"/>
            <family val="2"/>
          </rPr>
          <t xml:space="preserve">B.Hughes: </t>
        </r>
        <r>
          <rPr>
            <sz val="8"/>
            <color indexed="81"/>
            <rFont val="Tahoma"/>
            <family val="2"/>
          </rPr>
          <t>Local Option tax expired for Panama City in April 2008.  No new tax rate.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0" authorId="1">
      <text>
        <r>
          <rPr>
            <b/>
            <sz val="8"/>
            <color indexed="81"/>
            <rFont val="Tahoma"/>
            <family val="2"/>
          </rPr>
          <t xml:space="preserve">B.Hughes:  </t>
        </r>
        <r>
          <rPr>
            <sz val="8"/>
            <color indexed="81"/>
            <rFont val="Tahoma"/>
            <family val="2"/>
          </rPr>
          <t>Location description changed per David Hindsman.  He is the contact for space allocation updates.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4" authorId="0">
      <text>
        <r>
          <rPr>
            <b/>
            <sz val="8"/>
            <color indexed="81"/>
            <rFont val="Tahoma"/>
            <family val="2"/>
          </rPr>
          <t>ddangelo:</t>
        </r>
        <r>
          <rPr>
            <sz val="8"/>
            <color indexed="81"/>
            <rFont val="Tahoma"/>
            <family val="2"/>
          </rPr>
          <t xml:space="preserve">
Bill back to January for Mark Jones!!!</t>
        </r>
      </text>
    </comment>
  </commentList>
</comments>
</file>

<file path=xl/comments4.xml><?xml version="1.0" encoding="utf-8"?>
<comments xmlns="http://schemas.openxmlformats.org/spreadsheetml/2006/main">
  <authors>
    <author>ddangelo</author>
    <author>Information Technology</author>
    <author>ddangell</author>
    <author>BOHUGHES</author>
  </authors>
  <commentList>
    <comment ref="G6" authorId="0">
      <text>
        <r>
          <rPr>
            <b/>
            <sz val="8"/>
            <color indexed="81"/>
            <rFont val="Tahoma"/>
            <family val="2"/>
          </rPr>
          <t>ddangelo:</t>
        </r>
        <r>
          <rPr>
            <sz val="8"/>
            <color indexed="81"/>
            <rFont val="Tahoma"/>
            <family val="2"/>
          </rPr>
          <t xml:space="preserve">
Common areas</t>
        </r>
      </text>
    </comment>
    <comment ref="I6" authorId="0">
      <text>
        <r>
          <rPr>
            <b/>
            <sz val="8"/>
            <color indexed="81"/>
            <rFont val="Tahoma"/>
            <family val="2"/>
          </rPr>
          <t>ddangelo:</t>
        </r>
        <r>
          <rPr>
            <sz val="8"/>
            <color indexed="81"/>
            <rFont val="Tahoma"/>
            <family val="2"/>
          </rPr>
          <t xml:space="preserve">
$/sq. foot</t>
        </r>
      </text>
    </comment>
    <comment ref="E10" authorId="1">
      <text>
        <r>
          <rPr>
            <b/>
            <sz val="8"/>
            <color indexed="81"/>
            <rFont val="Tahoma"/>
            <family val="2"/>
          </rPr>
          <t xml:space="preserve">B.Hughes:  </t>
        </r>
        <r>
          <rPr>
            <sz val="8"/>
            <color indexed="81"/>
            <rFont val="Tahoma"/>
            <family val="2"/>
          </rPr>
          <t xml:space="preserve">Contact Debbie Deatherage, IT dept, to verify space allocation.
</t>
        </r>
      </text>
    </comment>
    <comment ref="K19" authorId="1">
      <text>
        <r>
          <rPr>
            <b/>
            <sz val="8"/>
            <color indexed="81"/>
            <rFont val="Tahoma"/>
            <family val="2"/>
          </rPr>
          <t xml:space="preserve">B.Hughes:  </t>
        </r>
        <r>
          <rPr>
            <sz val="8"/>
            <color indexed="81"/>
            <rFont val="Tahoma"/>
            <family val="2"/>
          </rPr>
          <t>Cannot calculate the break down based on Barbara Gambill's file.  Received amounts and breakdown from Debbie Deatherage.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 xml:space="preserve">B.Hughes:  </t>
        </r>
        <r>
          <rPr>
            <sz val="8"/>
            <color indexed="81"/>
            <rFont val="Tahoma"/>
            <family val="2"/>
          </rPr>
          <t>Contact Vicki Mack, Generation, to verify space allocation.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23" authorId="0">
      <text>
        <r>
          <rPr>
            <b/>
            <sz val="8"/>
            <color indexed="81"/>
            <rFont val="Tahoma"/>
            <family val="2"/>
          </rPr>
          <t>ddangelo:</t>
        </r>
        <r>
          <rPr>
            <sz val="8"/>
            <color indexed="81"/>
            <rFont val="Tahoma"/>
            <family val="2"/>
          </rPr>
          <t xml:space="preserve">
Zachar works from home.</t>
        </r>
      </text>
    </comment>
    <comment ref="E30" authorId="1">
      <text>
        <r>
          <rPr>
            <b/>
            <sz val="8"/>
            <color indexed="81"/>
            <rFont val="Tahoma"/>
            <family val="2"/>
          </rPr>
          <t xml:space="preserve">B.Hughes:  </t>
        </r>
        <r>
          <rPr>
            <sz val="8"/>
            <color indexed="81"/>
            <rFont val="Tahoma"/>
            <family val="2"/>
          </rPr>
          <t xml:space="preserve">Did not contact Auditing.  Contact may be Deborah Munro.
</t>
        </r>
      </text>
    </comment>
    <comment ref="E32" authorId="1">
      <text>
        <r>
          <rPr>
            <b/>
            <sz val="8"/>
            <color indexed="81"/>
            <rFont val="Tahoma"/>
            <family val="2"/>
          </rPr>
          <t xml:space="preserve">B.Hughes:  </t>
        </r>
        <r>
          <rPr>
            <sz val="8"/>
            <color indexed="81"/>
            <rFont val="Tahoma"/>
            <family val="2"/>
          </rPr>
          <t>Did not contact SCM.  Contact may be Bob Thompson.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34" authorId="2">
      <text>
        <r>
          <rPr>
            <b/>
            <sz val="8"/>
            <color indexed="81"/>
            <rFont val="Tahoma"/>
            <family val="2"/>
          </rPr>
          <t>ddangell:</t>
        </r>
        <r>
          <rPr>
            <sz val="8"/>
            <color indexed="81"/>
            <rFont val="Tahoma"/>
            <family val="2"/>
          </rPr>
          <t xml:space="preserve">
No Local Option Sales Tax for Crestview since it is in Okalooa County per David Ranney</t>
        </r>
      </text>
    </comment>
    <comment ref="E35" authorId="1">
      <text>
        <r>
          <rPr>
            <b/>
            <sz val="8"/>
            <color indexed="81"/>
            <rFont val="Tahoma"/>
            <family val="2"/>
          </rPr>
          <t xml:space="preserve">B.Hughes:  </t>
        </r>
        <r>
          <rPr>
            <sz val="8"/>
            <color indexed="81"/>
            <rFont val="Tahoma"/>
            <family val="2"/>
          </rPr>
          <t xml:space="preserve">Did not contact Southern Communication.  Unknown contact
</t>
        </r>
      </text>
    </comment>
    <comment ref="P37" authorId="1">
      <text>
        <r>
          <rPr>
            <b/>
            <sz val="8"/>
            <color indexed="81"/>
            <rFont val="Tahoma"/>
            <family val="2"/>
          </rPr>
          <t xml:space="preserve">B.Hughes:  </t>
        </r>
        <r>
          <rPr>
            <sz val="8"/>
            <color indexed="81"/>
            <rFont val="Tahoma"/>
            <family val="2"/>
          </rPr>
          <t>Local Option tax of 1% for Walton County (includes DeFuniak Springs).  No expiration date.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38" authorId="3">
      <text>
        <r>
          <rPr>
            <b/>
            <sz val="8"/>
            <color indexed="81"/>
            <rFont val="Tahoma"/>
            <family val="2"/>
          </rPr>
          <t>BOHUGHES:</t>
        </r>
        <r>
          <rPr>
            <sz val="8"/>
            <color indexed="81"/>
            <rFont val="Tahoma"/>
            <family val="2"/>
          </rPr>
          <t xml:space="preserve"> Local Option Tax of 1.5% for Escambia County.  Expires Dec 2017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39" authorId="1">
      <text>
        <r>
          <rPr>
            <b/>
            <sz val="8"/>
            <color indexed="81"/>
            <rFont val="Tahoma"/>
            <family val="2"/>
          </rPr>
          <t xml:space="preserve">B.Hughes: </t>
        </r>
        <r>
          <rPr>
            <sz val="8"/>
            <color indexed="81"/>
            <rFont val="Tahoma"/>
            <family val="2"/>
          </rPr>
          <t>Local Option tax expired for Panama City in April 2008.  No new tax rate.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2" authorId="1">
      <text>
        <r>
          <rPr>
            <b/>
            <sz val="8"/>
            <color indexed="81"/>
            <rFont val="Tahoma"/>
            <family val="2"/>
          </rPr>
          <t xml:space="preserve">B.Hughes:  </t>
        </r>
        <r>
          <rPr>
            <sz val="8"/>
            <color indexed="81"/>
            <rFont val="Tahoma"/>
            <family val="2"/>
          </rPr>
          <t>Location description changed per David Hindsman.  He is the contact for space allocation updates.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ddangelo</author>
    <author>Information Technology</author>
    <author>ddangell</author>
    <author>BOHUGHES</author>
  </authors>
  <commentList>
    <comment ref="G6" authorId="0">
      <text>
        <r>
          <rPr>
            <b/>
            <sz val="8"/>
            <color indexed="81"/>
            <rFont val="Tahoma"/>
            <family val="2"/>
          </rPr>
          <t>ddangelo:</t>
        </r>
        <r>
          <rPr>
            <sz val="8"/>
            <color indexed="81"/>
            <rFont val="Tahoma"/>
            <family val="2"/>
          </rPr>
          <t xml:space="preserve">
Common areas</t>
        </r>
      </text>
    </comment>
    <comment ref="I6" authorId="0">
      <text>
        <r>
          <rPr>
            <b/>
            <sz val="8"/>
            <color indexed="81"/>
            <rFont val="Tahoma"/>
            <family val="2"/>
          </rPr>
          <t>ddangelo:</t>
        </r>
        <r>
          <rPr>
            <sz val="8"/>
            <color indexed="81"/>
            <rFont val="Tahoma"/>
            <family val="2"/>
          </rPr>
          <t xml:space="preserve">
$/sq. foot</t>
        </r>
      </text>
    </comment>
    <comment ref="E10" authorId="1">
      <text>
        <r>
          <rPr>
            <b/>
            <sz val="8"/>
            <color indexed="81"/>
            <rFont val="Tahoma"/>
            <family val="2"/>
          </rPr>
          <t xml:space="preserve">B.Hughes:  </t>
        </r>
        <r>
          <rPr>
            <sz val="8"/>
            <color indexed="81"/>
            <rFont val="Tahoma"/>
            <family val="2"/>
          </rPr>
          <t xml:space="preserve">Contact Debbie Deatherage, IT dept, to verify space allocation.
</t>
        </r>
      </text>
    </comment>
    <comment ref="K19" authorId="1">
      <text>
        <r>
          <rPr>
            <b/>
            <sz val="8"/>
            <color indexed="81"/>
            <rFont val="Tahoma"/>
            <family val="2"/>
          </rPr>
          <t xml:space="preserve">B.Hughes:  </t>
        </r>
        <r>
          <rPr>
            <sz val="8"/>
            <color indexed="81"/>
            <rFont val="Tahoma"/>
            <family val="2"/>
          </rPr>
          <t>Cannot calculate the break down based on Barbara Gambill's file.  Received amounts and breakdown from Debbie Deatherage.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 xml:space="preserve">B.Hughes:  </t>
        </r>
        <r>
          <rPr>
            <sz val="8"/>
            <color indexed="81"/>
            <rFont val="Tahoma"/>
            <family val="2"/>
          </rPr>
          <t>Contact Vicki Mack, Generation, to verify space allocation.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23" authorId="0">
      <text>
        <r>
          <rPr>
            <b/>
            <sz val="8"/>
            <color indexed="81"/>
            <rFont val="Tahoma"/>
            <family val="2"/>
          </rPr>
          <t>ddangelo:</t>
        </r>
        <r>
          <rPr>
            <sz val="8"/>
            <color indexed="81"/>
            <rFont val="Tahoma"/>
            <family val="2"/>
          </rPr>
          <t xml:space="preserve">
Zachar works from home.</t>
        </r>
      </text>
    </comment>
    <comment ref="E30" authorId="1">
      <text>
        <r>
          <rPr>
            <b/>
            <sz val="8"/>
            <color indexed="81"/>
            <rFont val="Tahoma"/>
            <family val="2"/>
          </rPr>
          <t xml:space="preserve">B.Hughes:  </t>
        </r>
        <r>
          <rPr>
            <sz val="8"/>
            <color indexed="81"/>
            <rFont val="Tahoma"/>
            <family val="2"/>
          </rPr>
          <t xml:space="preserve">Did not contact Auditing.  Contact may be Deborah Munro.
</t>
        </r>
      </text>
    </comment>
    <comment ref="E32" authorId="1">
      <text>
        <r>
          <rPr>
            <b/>
            <sz val="8"/>
            <color indexed="81"/>
            <rFont val="Tahoma"/>
            <family val="2"/>
          </rPr>
          <t xml:space="preserve">B.Hughes:  </t>
        </r>
        <r>
          <rPr>
            <sz val="8"/>
            <color indexed="81"/>
            <rFont val="Tahoma"/>
            <family val="2"/>
          </rPr>
          <t>Did not contact SCM.  Contact may be Bob Thompson.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34" authorId="2">
      <text>
        <r>
          <rPr>
            <b/>
            <sz val="8"/>
            <color indexed="81"/>
            <rFont val="Tahoma"/>
            <family val="2"/>
          </rPr>
          <t>ddangell:</t>
        </r>
        <r>
          <rPr>
            <sz val="8"/>
            <color indexed="81"/>
            <rFont val="Tahoma"/>
            <family val="2"/>
          </rPr>
          <t xml:space="preserve">
No Local Option Sales Tax for Crestview since it is in Okalooa County per David Ranney</t>
        </r>
      </text>
    </comment>
    <comment ref="E35" authorId="1">
      <text>
        <r>
          <rPr>
            <b/>
            <sz val="8"/>
            <color indexed="81"/>
            <rFont val="Tahoma"/>
            <family val="2"/>
          </rPr>
          <t xml:space="preserve">B.Hughes:  </t>
        </r>
        <r>
          <rPr>
            <sz val="8"/>
            <color indexed="81"/>
            <rFont val="Tahoma"/>
            <family val="2"/>
          </rPr>
          <t xml:space="preserve">Did not contact Southern Communication.  Unknown contact
</t>
        </r>
      </text>
    </comment>
    <comment ref="P37" authorId="1">
      <text>
        <r>
          <rPr>
            <b/>
            <sz val="8"/>
            <color indexed="81"/>
            <rFont val="Tahoma"/>
            <family val="2"/>
          </rPr>
          <t xml:space="preserve">B.Hughes:  </t>
        </r>
        <r>
          <rPr>
            <sz val="8"/>
            <color indexed="81"/>
            <rFont val="Tahoma"/>
            <family val="2"/>
          </rPr>
          <t>Local Option tax of 1% for Walton County (includes DeFuniak Springs).  No expiration date.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38" authorId="3">
      <text>
        <r>
          <rPr>
            <b/>
            <sz val="8"/>
            <color indexed="81"/>
            <rFont val="Tahoma"/>
            <family val="2"/>
          </rPr>
          <t>BOHUGHES:</t>
        </r>
        <r>
          <rPr>
            <sz val="8"/>
            <color indexed="81"/>
            <rFont val="Tahoma"/>
            <family val="2"/>
          </rPr>
          <t xml:space="preserve"> Local Option Tax of 1.5% for Escambia County.  Expires Dec 2017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39" authorId="1">
      <text>
        <r>
          <rPr>
            <b/>
            <sz val="8"/>
            <color indexed="81"/>
            <rFont val="Tahoma"/>
            <family val="2"/>
          </rPr>
          <t xml:space="preserve">B.Hughes: </t>
        </r>
        <r>
          <rPr>
            <sz val="8"/>
            <color indexed="81"/>
            <rFont val="Tahoma"/>
            <family val="2"/>
          </rPr>
          <t>Local Option tax expired for Panama City in April 2008.  No new tax rate.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2" authorId="1">
      <text>
        <r>
          <rPr>
            <b/>
            <sz val="8"/>
            <color indexed="81"/>
            <rFont val="Tahoma"/>
            <family val="2"/>
          </rPr>
          <t xml:space="preserve">B.Hughes:  </t>
        </r>
        <r>
          <rPr>
            <sz val="8"/>
            <color indexed="81"/>
            <rFont val="Tahoma"/>
            <family val="2"/>
          </rPr>
          <t>Location description changed per David Hindsman.  He is the contact for space allocation updates.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<sst xmlns="http://schemas.openxmlformats.org/spreadsheetml/2006/main" count="682" uniqueCount="135">
  <si>
    <t>JV 22002</t>
  </si>
  <si>
    <t xml:space="preserve">SF Billing Rates effective 10-1-07 per Amanda Diamond </t>
  </si>
  <si>
    <t>SF and Gross Up Factor updated per Barbara Gambill (CREQ)</t>
  </si>
  <si>
    <t xml:space="preserve">Gross Up </t>
  </si>
  <si>
    <t>ACCOUNT NUMBER</t>
  </si>
  <si>
    <t>Credit 241-119</t>
  </si>
  <si>
    <t>Credit 241-120</t>
  </si>
  <si>
    <t>Bldg Loc</t>
  </si>
  <si>
    <t>Floor</t>
  </si>
  <si>
    <t>MIRS Area</t>
  </si>
  <si>
    <t>Area SF</t>
  </si>
  <si>
    <t>Factor</t>
  </si>
  <si>
    <t>Total</t>
  </si>
  <si>
    <t>Annual $</t>
  </si>
  <si>
    <t>Mo. $</t>
  </si>
  <si>
    <t>DEBIT</t>
  </si>
  <si>
    <t>CREDIT</t>
  </si>
  <si>
    <t>State Sales Tx</t>
  </si>
  <si>
    <t>City Option Tx</t>
  </si>
  <si>
    <t xml:space="preserve">DR Ferc/Sub 146-700 &amp; Activity 0000000, </t>
  </si>
  <si>
    <t>w/required PRCN and SCS EWO &amp; RRCN</t>
  </si>
  <si>
    <t>SCS employees located at Gulf</t>
  </si>
  <si>
    <t>unless otherwise shown.</t>
  </si>
  <si>
    <t>GP</t>
  </si>
  <si>
    <t>Chipley</t>
  </si>
  <si>
    <t>SCS Information Resources</t>
  </si>
  <si>
    <t>Corporate</t>
  </si>
  <si>
    <t>SCS  Information Resources</t>
  </si>
  <si>
    <t>FWB</t>
  </si>
  <si>
    <t>FWB Whse &amp; Line Svc</t>
  </si>
  <si>
    <t>Milton Admin</t>
  </si>
  <si>
    <t>Pace</t>
  </si>
  <si>
    <t>B</t>
  </si>
  <si>
    <t>Panama City Whse &amp; Line Svc</t>
  </si>
  <si>
    <t>Pine Forest Admin &amp; Whse/Line Svc</t>
  </si>
  <si>
    <t>Various - see IT worksheet</t>
  </si>
  <si>
    <t>40990-929-010</t>
  </si>
  <si>
    <t>SCS - Human Resources - 385</t>
  </si>
  <si>
    <t>40217-47HR01-90385</t>
  </si>
  <si>
    <t>SCS - Human Resources - 771</t>
  </si>
  <si>
    <t>40217-47R201-90771</t>
  </si>
  <si>
    <t>SCS - Human Resources - 774</t>
  </si>
  <si>
    <t>40217-98SS01-90774</t>
  </si>
  <si>
    <t>SCS - Wellness Coordinator</t>
  </si>
  <si>
    <t>SCS - Power Generation (Fxn 161 &amp; 163)</t>
  </si>
  <si>
    <t>40400-959001-90161</t>
  </si>
  <si>
    <r>
      <t xml:space="preserve">SCS - Exec O/H Pwr Gen &amp; </t>
    </r>
    <r>
      <rPr>
        <sz val="10"/>
        <rFont val="Arial"/>
        <family val="2"/>
      </rPr>
      <t>Transm. (Moore)</t>
    </r>
  </si>
  <si>
    <t>40400-948101-90175</t>
  </si>
  <si>
    <t xml:space="preserve">SCS - Fuel </t>
  </si>
  <si>
    <t>40400-981301-90312</t>
  </si>
  <si>
    <t xml:space="preserve">SCS - Internal Auditing </t>
  </si>
  <si>
    <t>40701-980301-90721</t>
  </si>
  <si>
    <t>SCS - Supply Chain Management</t>
  </si>
  <si>
    <t>40061-871501-90388</t>
  </si>
  <si>
    <t>Chase Street Facility</t>
  </si>
  <si>
    <t>Southern Communication</t>
  </si>
  <si>
    <t>146-90011</t>
  </si>
  <si>
    <t>Southern Communications</t>
  </si>
  <si>
    <t>DeFuniak Springs</t>
  </si>
  <si>
    <t>PRCN 41023</t>
  </si>
  <si>
    <t>Pace Blvd</t>
  </si>
  <si>
    <t>PRCN 41034</t>
  </si>
  <si>
    <t>Panama City Administration</t>
  </si>
  <si>
    <t>PRCN 41015</t>
  </si>
  <si>
    <t>(DR 146-90011)</t>
  </si>
  <si>
    <t>Q Street Warehouse</t>
  </si>
  <si>
    <t>New Products - Premium Surge</t>
  </si>
  <si>
    <t>40241-MPRSRG-416-01208</t>
  </si>
  <si>
    <t>New Products - Commercial Surge</t>
  </si>
  <si>
    <t>40241-MCMSRG-416-01208</t>
  </si>
  <si>
    <r>
      <t xml:space="preserve">Use cost type ELR for </t>
    </r>
    <r>
      <rPr>
        <b/>
        <sz val="10"/>
        <rFont val="Arial"/>
        <family val="2"/>
      </rPr>
      <t>all</t>
    </r>
    <r>
      <rPr>
        <sz val="10"/>
        <rFont val="Arial"/>
        <family val="2"/>
      </rPr>
      <t xml:space="preserve"> Debits, and EAJ for </t>
    </r>
    <r>
      <rPr>
        <b/>
        <sz val="10"/>
        <rFont val="Arial"/>
        <family val="2"/>
      </rPr>
      <t>all</t>
    </r>
    <r>
      <rPr>
        <sz val="10"/>
        <rFont val="Arial"/>
        <family val="2"/>
      </rPr>
      <t xml:space="preserve"> credits</t>
    </r>
  </si>
  <si>
    <r>
      <t xml:space="preserve">February Notes: </t>
    </r>
    <r>
      <rPr>
        <sz val="10"/>
        <rFont val="Arial"/>
        <family val="2"/>
      </rPr>
      <t>Spread of square footage by function has been corrected for SCS - Human Resources.  Will make an entry to correct January.</t>
    </r>
  </si>
  <si>
    <r>
      <t>Notes from January:</t>
    </r>
    <r>
      <rPr>
        <sz val="10"/>
        <rFont val="Arial"/>
        <family val="2"/>
      </rPr>
      <t xml:space="preserve">  Did not receive an updated file this January for 2008 business from Barbara Gambill, as there have not yet been significant changes for 2008.</t>
    </r>
  </si>
  <si>
    <t xml:space="preserve">Received an email from Barbara and Sue Markham with 3 updates to be made based on 2007 changes.  Sue will let me know of any </t>
  </si>
  <si>
    <t>changes as they occur in 2008.</t>
  </si>
  <si>
    <t xml:space="preserve">DR Ferc/Sub 146-700 </t>
  </si>
  <si>
    <t>40990-SFO-GDC929</t>
  </si>
  <si>
    <t>40400-SFO-959001-F9SFS-90161</t>
  </si>
  <si>
    <t>40400-SFO-948101-F9SSPO-90175</t>
  </si>
  <si>
    <t>40400-SFO-981301-ABUDGET-90312</t>
  </si>
  <si>
    <t xml:space="preserve">GP </t>
  </si>
  <si>
    <t>Pine Forest Garage</t>
  </si>
  <si>
    <t>SCS - Plant Crist Construction</t>
  </si>
  <si>
    <t>n/a</t>
  </si>
  <si>
    <t>40410-SFO-4106CM-FP9999-90067</t>
  </si>
  <si>
    <t>40701-980301-GSOCOIA-90721</t>
  </si>
  <si>
    <t>Chase</t>
  </si>
  <si>
    <t>40061-871501-BSUCHMG-90388</t>
  </si>
  <si>
    <t>Crestview</t>
  </si>
  <si>
    <t>PRCN 41022</t>
  </si>
  <si>
    <t>PRCN 41023-SFO</t>
  </si>
  <si>
    <t>PRCN 41034-EAL</t>
  </si>
  <si>
    <t>PRCN 41015-SFO</t>
  </si>
  <si>
    <t>(DR 146-90011) SFO</t>
  </si>
  <si>
    <t>40242-SFO-MPRSRG-MNP208</t>
  </si>
  <si>
    <t>40242-SFO-MCMSRG-MNP208</t>
  </si>
  <si>
    <r>
      <t xml:space="preserve">Use cost type SFO for </t>
    </r>
    <r>
      <rPr>
        <b/>
        <i/>
        <sz val="14"/>
        <rFont val="Arial"/>
        <family val="2"/>
      </rPr>
      <t>all</t>
    </r>
    <r>
      <rPr>
        <i/>
        <sz val="14"/>
        <rFont val="Arial"/>
        <family val="2"/>
      </rPr>
      <t xml:space="preserve"> Debits/Credits</t>
    </r>
  </si>
  <si>
    <r>
      <t>May Notes:</t>
    </r>
    <r>
      <rPr>
        <sz val="10"/>
        <rFont val="Arial"/>
        <family val="2"/>
      </rPr>
      <t xml:space="preserve">  </t>
    </r>
  </si>
  <si>
    <t>Spreadsheet updated for new Local Option tax rates.</t>
  </si>
  <si>
    <t>The Local Option Sales Tax expired for Bay County (includes Panama City) in April 2008.  No new tax.</t>
  </si>
  <si>
    <t>The Local Option Sales Tax is still 1% for Walton County (includes DeFuniak Springs).  It has no expiration date.</t>
  </si>
  <si>
    <t>The Local Option Sales Tax is still 1.5 % for Escambia County and expires in Dec 2017.</t>
  </si>
  <si>
    <t xml:space="preserve">      </t>
  </si>
  <si>
    <t xml:space="preserve">DR Ferc/Sub 812-70000 </t>
  </si>
  <si>
    <t>40400-SFO-Y03785</t>
  </si>
  <si>
    <r>
      <t xml:space="preserve">Ball, </t>
    </r>
    <r>
      <rPr>
        <sz val="10"/>
        <color indexed="10"/>
        <rFont val="Arial"/>
        <family val="2"/>
      </rPr>
      <t>Yeager,</t>
    </r>
    <r>
      <rPr>
        <sz val="10"/>
        <rFont val="Arial"/>
        <family val="2"/>
      </rPr>
      <t xml:space="preserve"> Peters</t>
    </r>
  </si>
  <si>
    <t>40400-SFO-Y01609</t>
  </si>
  <si>
    <t>McCullough</t>
  </si>
  <si>
    <t>SCS - Construction Coast</t>
  </si>
  <si>
    <t>40410-SFO-Y00765</t>
  </si>
  <si>
    <t>Wright</t>
  </si>
  <si>
    <t>40701-SFO-Y02268</t>
  </si>
  <si>
    <t>40061-SFO-Y01283</t>
  </si>
  <si>
    <t>GLE-22002</t>
  </si>
  <si>
    <t>w/required PRCN, SFO, Y-EWO.</t>
  </si>
  <si>
    <t>40790-SFO-YOCF01</t>
  </si>
  <si>
    <t>IT</t>
  </si>
  <si>
    <t>SCS ESS/Budgeting</t>
  </si>
  <si>
    <t>Sandra, Paula, Debbie, John</t>
  </si>
  <si>
    <t>40400-SFO-YOCF01</t>
  </si>
  <si>
    <t>Ball, Peters, Empty</t>
  </si>
  <si>
    <t>SCS - Exec O/H Pwr Gen</t>
  </si>
  <si>
    <t>Burroughs</t>
  </si>
  <si>
    <t>40410-SFO-YOCF01</t>
  </si>
  <si>
    <t>40701-SFO-YOCF01</t>
  </si>
  <si>
    <t>Hannah, Spaces</t>
  </si>
  <si>
    <t>40061-SFO-YOCF01</t>
  </si>
  <si>
    <t>Morgan, Lay, Southard, Thompson, Capshaw, Baughman</t>
  </si>
  <si>
    <t xml:space="preserve"> 2008  MONTHLY SPACE ALLOCATIONS </t>
  </si>
  <si>
    <t xml:space="preserve"> 2009  MONTHLY SPACE ALLOCATIONS </t>
  </si>
  <si>
    <t xml:space="preserve"> 2010 MONTHLY SPACE ALLOCATIONS </t>
  </si>
  <si>
    <t xml:space="preserve"> 2011 MONTHLY SPACE ALLOCATIONS </t>
  </si>
  <si>
    <t xml:space="preserve"> 2012 MONTHLY SPACE ALLOCATIONS </t>
  </si>
  <si>
    <t>*Please reference "Occupancy Billing Rates 2009" file to match the "$ per Square Foot (annual)" factor.</t>
  </si>
  <si>
    <t>*Please reference "Occupancy Billing Rates 2007" file to match the "$ per Square Foot (annual)" factor.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</si>
</sst>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0.0_);\(#,##0.0\)"/>
  </numFmts>
  <fonts count="22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indexed="8"/>
      <name val="Calibri"/>
      <family val="2"/>
    </font>
    <font>
      <sz val="10"/>
      <color indexed="10"/>
      <name val="Arial"/>
      <family val="2"/>
    </font>
    <font>
      <b/>
      <i/>
      <u/>
      <sz val="14"/>
      <color indexed="10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strike/>
      <sz val="12"/>
      <name val="Arial"/>
      <family val="2"/>
    </font>
    <font>
      <strike/>
      <sz val="10"/>
      <name val="Arial"/>
      <family val="2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14" fillId="0" borderId="0"/>
  </cellStyleXfs>
  <cellXfs count="156">
    <xf numFmtId="0" fontId="0" fillId="0" borderId="0" xfId="0"/>
    <xf numFmtId="0" fontId="1" fillId="0" borderId="0" xfId="0" applyFont="1" applyBorder="1"/>
    <xf numFmtId="0" fontId="0" fillId="0" borderId="0" xfId="0" applyBorder="1"/>
    <xf numFmtId="22" fontId="2" fillId="0" borderId="0" xfId="0" applyNumberFormat="1" applyFont="1" applyBorder="1" applyAlignment="1">
      <alignment horizontal="right"/>
    </xf>
    <xf numFmtId="0" fontId="3" fillId="0" borderId="0" xfId="0" applyFont="1"/>
    <xf numFmtId="43" fontId="3" fillId="0" borderId="0" xfId="1" applyNumberFormat="1" applyFont="1"/>
    <xf numFmtId="43" fontId="3" fillId="0" borderId="0" xfId="1" applyFont="1"/>
    <xf numFmtId="0" fontId="4" fillId="0" borderId="0" xfId="0" applyFont="1"/>
    <xf numFmtId="0" fontId="1" fillId="0" borderId="0" xfId="0" applyFont="1"/>
    <xf numFmtId="0" fontId="5" fillId="0" borderId="0" xfId="0" applyFont="1"/>
    <xf numFmtId="1" fontId="1" fillId="0" borderId="0" xfId="1" applyNumberFormat="1" applyFont="1" applyAlignment="1">
      <alignment horizontal="center"/>
    </xf>
    <xf numFmtId="43" fontId="3" fillId="0" borderId="0" xfId="1" applyFont="1" applyAlignment="1">
      <alignment horizontal="center"/>
    </xf>
    <xf numFmtId="43" fontId="1" fillId="0" borderId="0" xfId="1" applyNumberFormat="1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/>
    <xf numFmtId="43" fontId="3" fillId="0" borderId="0" xfId="1" applyFont="1" applyBorder="1" applyAlignment="1"/>
    <xf numFmtId="43" fontId="1" fillId="0" borderId="0" xfId="1" applyFont="1" applyAlignment="1">
      <alignment horizontal="center"/>
    </xf>
    <xf numFmtId="0" fontId="2" fillId="0" borderId="0" xfId="0" applyFont="1" applyAlignment="1">
      <alignment horizontal="centerContinuous" wrapText="1"/>
    </xf>
    <xf numFmtId="0" fontId="4" fillId="0" borderId="0" xfId="0" applyFont="1" applyAlignment="1">
      <alignment horizontal="centerContinuous" wrapText="1"/>
    </xf>
    <xf numFmtId="0" fontId="2" fillId="0" borderId="0" xfId="0" applyFont="1"/>
    <xf numFmtId="0" fontId="6" fillId="0" borderId="0" xfId="0" applyFont="1" applyBorder="1"/>
    <xf numFmtId="0" fontId="6" fillId="0" borderId="0" xfId="0" applyFont="1" applyBorder="1" applyAlignment="1"/>
    <xf numFmtId="43" fontId="6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43" fontId="6" fillId="0" borderId="0" xfId="1" applyFont="1" applyBorder="1" applyAlignme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Border="1"/>
    <xf numFmtId="43" fontId="10" fillId="0" borderId="0" xfId="1" applyNumberFormat="1" applyFont="1"/>
    <xf numFmtId="43" fontId="10" fillId="0" borderId="0" xfId="1" applyFont="1"/>
    <xf numFmtId="0" fontId="11" fillId="0" borderId="0" xfId="0" applyFont="1"/>
    <xf numFmtId="0" fontId="3" fillId="0" borderId="0" xfId="0" applyFont="1" applyBorder="1" applyAlignment="1">
      <alignment horizontal="center"/>
    </xf>
    <xf numFmtId="37" fontId="3" fillId="0" borderId="0" xfId="0" applyNumberFormat="1" applyFont="1" applyBorder="1" applyAlignment="1"/>
    <xf numFmtId="43" fontId="3" fillId="0" borderId="0" xfId="1" applyNumberFormat="1" applyFont="1" applyBorder="1"/>
    <xf numFmtId="39" fontId="3" fillId="0" borderId="0" xfId="0" applyNumberFormat="1" applyFont="1" applyBorder="1"/>
    <xf numFmtId="0" fontId="3" fillId="0" borderId="0" xfId="0" applyFont="1" applyBorder="1" applyAlignment="1">
      <alignment horizontal="left"/>
    </xf>
    <xf numFmtId="37" fontId="3" fillId="0" borderId="1" xfId="0" applyNumberFormat="1" applyFont="1" applyBorder="1" applyAlignment="1"/>
    <xf numFmtId="39" fontId="3" fillId="0" borderId="1" xfId="0" applyNumberFormat="1" applyFont="1" applyBorder="1" applyAlignment="1"/>
    <xf numFmtId="43" fontId="3" fillId="0" borderId="1" xfId="1" applyFont="1" applyBorder="1"/>
    <xf numFmtId="0" fontId="4" fillId="0" borderId="0" xfId="0" quotePrefix="1" applyFont="1" applyAlignment="1">
      <alignment horizontal="left"/>
    </xf>
    <xf numFmtId="37" fontId="3" fillId="0" borderId="0" xfId="0" applyNumberFormat="1" applyFont="1" applyBorder="1"/>
    <xf numFmtId="43" fontId="0" fillId="0" borderId="0" xfId="0" applyNumberFormat="1"/>
    <xf numFmtId="164" fontId="3" fillId="0" borderId="0" xfId="1" applyNumberFormat="1" applyFont="1"/>
    <xf numFmtId="164" fontId="3" fillId="0" borderId="0" xfId="0" applyNumberFormat="1" applyFont="1"/>
    <xf numFmtId="0" fontId="4" fillId="0" borderId="0" xfId="0" applyFont="1" applyAlignment="1">
      <alignment horizontal="left"/>
    </xf>
    <xf numFmtId="39" fontId="3" fillId="0" borderId="1" xfId="0" applyNumberFormat="1" applyFont="1" applyBorder="1"/>
    <xf numFmtId="43" fontId="3" fillId="0" borderId="1" xfId="0" applyNumberFormat="1" applyFont="1" applyBorder="1"/>
    <xf numFmtId="37" fontId="3" fillId="0" borderId="2" xfId="0" applyNumberFormat="1" applyFont="1" applyBorder="1" applyAlignment="1"/>
    <xf numFmtId="0" fontId="0" fillId="0" borderId="0" xfId="0" applyAlignment="1">
      <alignment horizontal="center"/>
    </xf>
    <xf numFmtId="43" fontId="4" fillId="0" borderId="0" xfId="1"/>
    <xf numFmtId="0" fontId="10" fillId="0" borderId="0" xfId="0" applyFont="1" applyBorder="1" applyAlignment="1">
      <alignment horizontal="center"/>
    </xf>
    <xf numFmtId="43" fontId="0" fillId="0" borderId="1" xfId="0" applyNumberFormat="1" applyBorder="1"/>
    <xf numFmtId="43" fontId="4" fillId="0" borderId="1" xfId="1" applyBorder="1"/>
    <xf numFmtId="0" fontId="8" fillId="0" borderId="0" xfId="0" applyFont="1" applyAlignment="1">
      <alignment horizontal="left"/>
    </xf>
    <xf numFmtId="43" fontId="3" fillId="0" borderId="0" xfId="1" applyFont="1" applyBorder="1"/>
    <xf numFmtId="43" fontId="0" fillId="0" borderId="0" xfId="0" applyNumberFormat="1" applyBorder="1"/>
    <xf numFmtId="37" fontId="3" fillId="0" borderId="3" xfId="0" applyNumberFormat="1" applyFont="1" applyBorder="1"/>
    <xf numFmtId="43" fontId="3" fillId="0" borderId="3" xfId="1" applyFont="1" applyBorder="1"/>
    <xf numFmtId="43" fontId="0" fillId="0" borderId="3" xfId="0" applyNumberFormat="1" applyBorder="1"/>
    <xf numFmtId="43" fontId="0" fillId="0" borderId="4" xfId="0" applyNumberFormat="1" applyBorder="1"/>
    <xf numFmtId="43" fontId="4" fillId="0" borderId="5" xfId="1" applyBorder="1"/>
    <xf numFmtId="37" fontId="3" fillId="0" borderId="0" xfId="0" applyNumberFormat="1" applyFont="1" applyFill="1" applyBorder="1" applyAlignment="1"/>
    <xf numFmtId="43" fontId="3" fillId="0" borderId="0" xfId="1" applyNumberFormat="1" applyFont="1" applyFill="1" applyBorder="1"/>
    <xf numFmtId="39" fontId="3" fillId="0" borderId="0" xfId="0" applyNumberFormat="1" applyFont="1" applyFill="1" applyBorder="1"/>
    <xf numFmtId="0" fontId="3" fillId="0" borderId="0" xfId="0" applyFont="1" applyFill="1"/>
    <xf numFmtId="43" fontId="3" fillId="0" borderId="0" xfId="1" applyFont="1" applyFill="1"/>
    <xf numFmtId="37" fontId="3" fillId="0" borderId="1" xfId="0" applyNumberFormat="1" applyFont="1" applyFill="1" applyBorder="1" applyAlignment="1"/>
    <xf numFmtId="39" fontId="3" fillId="0" borderId="1" xfId="0" applyNumberFormat="1" applyFont="1" applyFill="1" applyBorder="1" applyAlignment="1"/>
    <xf numFmtId="0" fontId="3" fillId="0" borderId="0" xfId="0" applyFont="1" applyFill="1" applyBorder="1"/>
    <xf numFmtId="43" fontId="3" fillId="0" borderId="1" xfId="1" applyFont="1" applyFill="1" applyBorder="1"/>
    <xf numFmtId="0" fontId="0" fillId="0" borderId="0" xfId="0" applyFill="1"/>
    <xf numFmtId="0" fontId="3" fillId="0" borderId="0" xfId="0" applyFont="1" applyFill="1" applyBorder="1" applyAlignment="1">
      <alignment horizontal="center"/>
    </xf>
    <xf numFmtId="39" fontId="3" fillId="0" borderId="1" xfId="0" applyNumberFormat="1" applyFont="1" applyFill="1" applyBorder="1"/>
    <xf numFmtId="0" fontId="0" fillId="0" borderId="0" xfId="0" quotePrefix="1" applyFill="1" applyAlignment="1">
      <alignment horizontal="left"/>
    </xf>
    <xf numFmtId="0" fontId="4" fillId="0" borderId="0" xfId="0" quotePrefix="1" applyFont="1" applyFill="1" applyAlignment="1">
      <alignment horizontal="left"/>
    </xf>
    <xf numFmtId="0" fontId="15" fillId="0" borderId="0" xfId="0" applyFont="1" applyFill="1"/>
    <xf numFmtId="165" fontId="3" fillId="0" borderId="1" xfId="0" applyNumberFormat="1" applyFont="1" applyFill="1" applyBorder="1" applyAlignment="1"/>
    <xf numFmtId="43" fontId="4" fillId="0" borderId="0" xfId="1" applyFill="1"/>
    <xf numFmtId="43" fontId="4" fillId="0" borderId="0" xfId="1" applyFont="1" applyFill="1"/>
    <xf numFmtId="43" fontId="4" fillId="0" borderId="0" xfId="0" applyNumberFormat="1" applyFont="1" applyFill="1"/>
    <xf numFmtId="0" fontId="0" fillId="0" borderId="0" xfId="0" applyFill="1" applyAlignment="1">
      <alignment horizontal="center"/>
    </xf>
    <xf numFmtId="43" fontId="0" fillId="0" borderId="0" xfId="0" applyNumberFormat="1" applyFill="1"/>
    <xf numFmtId="0" fontId="8" fillId="0" borderId="0" xfId="0" quotePrefix="1" applyFont="1" applyFill="1" applyAlignment="1">
      <alignment horizontal="left"/>
    </xf>
    <xf numFmtId="0" fontId="0" fillId="0" borderId="0" xfId="0" quotePrefix="1" applyFill="1" applyAlignment="1">
      <alignment horizontal="center"/>
    </xf>
    <xf numFmtId="0" fontId="16" fillId="0" borderId="0" xfId="0" applyFont="1" applyFill="1"/>
    <xf numFmtId="43" fontId="2" fillId="0" borderId="5" xfId="1" applyFont="1" applyFill="1" applyBorder="1"/>
    <xf numFmtId="43" fontId="3" fillId="0" borderId="0" xfId="1" applyNumberFormat="1" applyFont="1" applyFill="1"/>
    <xf numFmtId="0" fontId="0" fillId="0" borderId="0" xfId="0" quotePrefix="1" applyFill="1" applyAlignment="1">
      <alignment horizontal="right"/>
    </xf>
    <xf numFmtId="43" fontId="0" fillId="0" borderId="0" xfId="0" applyNumberFormat="1" applyFill="1" applyBorder="1"/>
    <xf numFmtId="0" fontId="0" fillId="0" borderId="0" xfId="0" applyFill="1" applyBorder="1"/>
    <xf numFmtId="0" fontId="1" fillId="0" borderId="0" xfId="0" quotePrefix="1" applyFont="1" applyFill="1" applyBorder="1" applyAlignment="1">
      <alignment horizontal="left"/>
    </xf>
    <xf numFmtId="22" fontId="2" fillId="0" borderId="0" xfId="0" applyNumberFormat="1" applyFont="1" applyFill="1" applyBorder="1" applyAlignment="1">
      <alignment horizontal="right"/>
    </xf>
    <xf numFmtId="0" fontId="4" fillId="0" borderId="0" xfId="0" applyFont="1" applyFill="1"/>
    <xf numFmtId="0" fontId="1" fillId="0" borderId="0" xfId="0" applyFont="1" applyFill="1"/>
    <xf numFmtId="0" fontId="5" fillId="0" borderId="0" xfId="0" applyFont="1" applyFill="1"/>
    <xf numFmtId="1" fontId="1" fillId="0" borderId="0" xfId="1" applyNumberFormat="1" applyFont="1" applyFill="1" applyAlignment="1">
      <alignment horizontal="center"/>
    </xf>
    <xf numFmtId="43" fontId="3" fillId="0" borderId="0" xfId="1" applyFont="1" applyFill="1" applyAlignment="1">
      <alignment horizontal="center"/>
    </xf>
    <xf numFmtId="43" fontId="1" fillId="0" borderId="0" xfId="1" applyNumberFormat="1" applyFont="1" applyFill="1" applyAlignment="1">
      <alignment horizontal="center"/>
    </xf>
    <xf numFmtId="0" fontId="3" fillId="0" borderId="0" xfId="0" applyFont="1" applyFill="1" applyBorder="1" applyAlignment="1"/>
    <xf numFmtId="43" fontId="3" fillId="0" borderId="0" xfId="1" applyFont="1" applyFill="1" applyBorder="1" applyAlignment="1"/>
    <xf numFmtId="43" fontId="1" fillId="0" borderId="0" xfId="1" applyFont="1" applyFill="1" applyAlignment="1">
      <alignment horizontal="center"/>
    </xf>
    <xf numFmtId="0" fontId="2" fillId="0" borderId="0" xfId="0" applyFont="1" applyFill="1" applyAlignment="1">
      <alignment horizontal="centerContinuous" wrapText="1"/>
    </xf>
    <xf numFmtId="0" fontId="4" fillId="0" borderId="0" xfId="0" applyFont="1" applyFill="1" applyAlignment="1">
      <alignment horizontal="centerContinuous" wrapText="1"/>
    </xf>
    <xf numFmtId="0" fontId="2" fillId="0" borderId="0" xfId="0" applyFont="1" applyFill="1"/>
    <xf numFmtId="0" fontId="6" fillId="0" borderId="0" xfId="0" applyFont="1" applyFill="1" applyBorder="1"/>
    <xf numFmtId="0" fontId="6" fillId="0" borderId="0" xfId="0" applyFont="1" applyFill="1" applyBorder="1" applyAlignment="1"/>
    <xf numFmtId="43" fontId="6" fillId="0" borderId="0" xfId="1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43" fontId="6" fillId="0" borderId="0" xfId="1" applyFont="1" applyFill="1" applyBorder="1" applyAlignment="1"/>
    <xf numFmtId="0" fontId="2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0" fillId="0" borderId="0" xfId="0" applyFont="1" applyFill="1" applyBorder="1"/>
    <xf numFmtId="43" fontId="10" fillId="0" borderId="0" xfId="1" applyNumberFormat="1" applyFont="1" applyFill="1"/>
    <xf numFmtId="43" fontId="10" fillId="0" borderId="0" xfId="1" applyFont="1" applyFill="1"/>
    <xf numFmtId="0" fontId="11" fillId="0" borderId="0" xfId="0" applyFont="1" applyFill="1"/>
    <xf numFmtId="0" fontId="3" fillId="0" borderId="0" xfId="0" applyFont="1" applyFill="1" applyBorder="1" applyAlignment="1">
      <alignment horizontal="left"/>
    </xf>
    <xf numFmtId="37" fontId="3" fillId="0" borderId="0" xfId="0" applyNumberFormat="1" applyFont="1" applyFill="1" applyBorder="1"/>
    <xf numFmtId="0" fontId="3" fillId="0" borderId="0" xfId="0" quotePrefix="1" applyFont="1" applyFill="1" applyBorder="1" applyAlignment="1">
      <alignment horizontal="left"/>
    </xf>
    <xf numFmtId="0" fontId="19" fillId="0" borderId="0" xfId="0" applyFont="1" applyFill="1" applyBorder="1"/>
    <xf numFmtId="0" fontId="19" fillId="0" borderId="0" xfId="0" applyFont="1" applyFill="1" applyBorder="1" applyAlignment="1">
      <alignment horizontal="center"/>
    </xf>
    <xf numFmtId="37" fontId="19" fillId="0" borderId="0" xfId="0" applyNumberFormat="1" applyFont="1" applyFill="1" applyBorder="1" applyAlignment="1"/>
    <xf numFmtId="43" fontId="19" fillId="0" borderId="0" xfId="1" applyNumberFormat="1" applyFont="1" applyFill="1" applyBorder="1"/>
    <xf numFmtId="39" fontId="19" fillId="0" borderId="0" xfId="0" applyNumberFormat="1" applyFont="1" applyFill="1" applyBorder="1"/>
    <xf numFmtId="43" fontId="19" fillId="0" borderId="0" xfId="1" applyFont="1" applyFill="1"/>
    <xf numFmtId="0" fontId="20" fillId="0" borderId="0" xfId="0" quotePrefix="1" applyFont="1" applyFill="1" applyAlignment="1">
      <alignment horizontal="left"/>
    </xf>
    <xf numFmtId="0" fontId="20" fillId="0" borderId="0" xfId="0" applyFont="1" applyFill="1"/>
    <xf numFmtId="43" fontId="3" fillId="0" borderId="0" xfId="1" applyNumberFormat="1" applyFont="1" applyFill="1" applyBorder="1" applyAlignment="1">
      <alignment horizontal="right"/>
    </xf>
    <xf numFmtId="37" fontId="3" fillId="0" borderId="2" xfId="0" applyNumberFormat="1" applyFont="1" applyFill="1" applyBorder="1" applyAlignment="1"/>
    <xf numFmtId="0" fontId="10" fillId="0" borderId="0" xfId="0" applyFont="1" applyFill="1" applyBorder="1" applyAlignment="1">
      <alignment horizontal="center"/>
    </xf>
    <xf numFmtId="43" fontId="0" fillId="0" borderId="1" xfId="0" applyNumberFormat="1" applyFill="1" applyBorder="1"/>
    <xf numFmtId="43" fontId="4" fillId="0" borderId="1" xfId="1" applyFill="1" applyBorder="1"/>
    <xf numFmtId="43" fontId="3" fillId="0" borderId="0" xfId="1" applyFont="1" applyFill="1" applyBorder="1"/>
    <xf numFmtId="37" fontId="3" fillId="0" borderId="3" xfId="0" applyNumberFormat="1" applyFont="1" applyFill="1" applyBorder="1"/>
    <xf numFmtId="43" fontId="3" fillId="0" borderId="3" xfId="1" applyFont="1" applyFill="1" applyBorder="1"/>
    <xf numFmtId="43" fontId="0" fillId="0" borderId="3" xfId="0" applyNumberFormat="1" applyFill="1" applyBorder="1"/>
    <xf numFmtId="43" fontId="0" fillId="0" borderId="4" xfId="0" applyNumberFormat="1" applyFill="1" applyBorder="1"/>
    <xf numFmtId="0" fontId="17" fillId="0" borderId="0" xfId="0" quotePrefix="1" applyFont="1" applyFill="1" applyAlignment="1">
      <alignment horizontal="left"/>
    </xf>
    <xf numFmtId="43" fontId="4" fillId="0" borderId="0" xfId="1" applyNumberFormat="1" applyFont="1" applyFill="1"/>
    <xf numFmtId="43" fontId="2" fillId="0" borderId="0" xfId="0" quotePrefix="1" applyNumberFormat="1" applyFont="1" applyFill="1" applyBorder="1" applyAlignment="1">
      <alignment horizontal="left"/>
    </xf>
    <xf numFmtId="0" fontId="3" fillId="2" borderId="0" xfId="0" applyFont="1" applyFill="1"/>
    <xf numFmtId="0" fontId="3" fillId="2" borderId="0" xfId="0" applyFont="1" applyFill="1" applyBorder="1"/>
    <xf numFmtId="43" fontId="3" fillId="2" borderId="0" xfId="0" applyNumberFormat="1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43" fontId="3" fillId="2" borderId="0" xfId="0" applyNumberFormat="1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43" fontId="4" fillId="0" borderId="0" xfId="0" applyNumberFormat="1" applyFont="1" applyFill="1" applyBorder="1" applyAlignment="1">
      <alignment horizontal="left" vertical="top" wrapText="1"/>
    </xf>
    <xf numFmtId="0" fontId="21" fillId="0" borderId="0" xfId="0" applyFont="1" applyFill="1"/>
  </cellXfs>
  <cellStyles count="7">
    <cellStyle name="Comma" xfId="1" builtinId="3"/>
    <cellStyle name="Comma 2" xfId="2"/>
    <cellStyle name="Comma 3" xfId="3"/>
    <cellStyle name="Normal" xfId="0" builtinId="0"/>
    <cellStyle name="Normal 2" xfId="4"/>
    <cellStyle name="Normal 2 2" xfId="5"/>
    <cellStyle name="Normal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JV%2022002%20Occupancy%2020xx/JV%2022002%20Occupancy%20200x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June11"/>
      <sheetName val="June11 IT"/>
      <sheetName val="May11"/>
      <sheetName val="May11 IT"/>
      <sheetName val="Apr11"/>
      <sheetName val="Apr2011 IT"/>
      <sheetName val="Feb11"/>
      <sheetName val="Mar2011 IT"/>
      <sheetName val="Feb2011 IT"/>
      <sheetName val="Jan11"/>
      <sheetName val="Jan2011 IT"/>
      <sheetName val="Jan2011 IT Draft"/>
      <sheetName val="Sept2010 IT-NonIT Updates"/>
      <sheetName val="Sept10"/>
      <sheetName val="Aug2010 IT-NonIT Updates"/>
      <sheetName val="Aug10"/>
      <sheetName val="July2010 IT-NonIT Updates (2)"/>
      <sheetName val="June10"/>
      <sheetName val="June2010 IT-NonIT Updates"/>
      <sheetName val="June2010 IT Updates per D.D"/>
      <sheetName val="May10"/>
      <sheetName val="Apr10"/>
      <sheetName val="Jan2010 IT Updates per D.D Add"/>
      <sheetName val="Jan10"/>
      <sheetName val="Jan2010 IT Updates per D.D"/>
      <sheetName val="Dec09"/>
      <sheetName val="Nov09"/>
      <sheetName val="Oct09"/>
      <sheetName val="Sept09"/>
      <sheetName val="Aug09"/>
      <sheetName val="May09"/>
      <sheetName val="Apr09"/>
      <sheetName val="Mar09"/>
      <sheetName val="Feb09"/>
      <sheetName val="Jan09"/>
      <sheetName val="Jan2009 IT Updates per D.D"/>
      <sheetName val="Dec08"/>
      <sheetName val="Nov08"/>
      <sheetName val="Oct 08"/>
      <sheetName val="Sept 2008"/>
      <sheetName val="Occup May 2008"/>
      <sheetName val="Occupancy Feb2008"/>
      <sheetName val="Jan2008 IT Updates per D.D"/>
      <sheetName val="Occupancy Jan2008"/>
      <sheetName val="Dec07 IT Updates"/>
      <sheetName val="Occupancy Oct07 - Dec07"/>
      <sheetName val="2007 Fringe Benefits Rate 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>
        <row r="73">
          <cell r="B73">
            <v>706.64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8"/>
  <sheetViews>
    <sheetView tabSelected="1" zoomScale="70" zoomScaleNormal="70" workbookViewId="0">
      <selection activeCell="A49" sqref="A49"/>
    </sheetView>
  </sheetViews>
  <sheetFormatPr defaultRowHeight="15"/>
  <cols>
    <col min="1" max="1" width="5.7109375" customWidth="1"/>
    <col min="2" max="2" width="9.28515625" bestFit="1" customWidth="1"/>
    <col min="3" max="3" width="36.5703125" customWidth="1"/>
    <col min="4" max="4" width="9.28515625" bestFit="1" customWidth="1"/>
    <col min="5" max="5" width="42.140625" customWidth="1"/>
    <col min="6" max="6" width="11.7109375" bestFit="1" customWidth="1"/>
    <col min="7" max="7" width="12.7109375" style="5" customWidth="1"/>
    <col min="8" max="8" width="12.140625" bestFit="1" customWidth="1"/>
    <col min="9" max="9" width="9.85546875" style="4" bestFit="1" customWidth="1"/>
    <col min="10" max="10" width="16.28515625" style="6" bestFit="1" customWidth="1"/>
    <col min="11" max="11" width="13.140625" style="6" bestFit="1" customWidth="1"/>
    <col min="12" max="12" width="29.140625" customWidth="1"/>
    <col min="13" max="13" width="13" customWidth="1"/>
    <col min="14" max="15" width="13.7109375" bestFit="1" customWidth="1"/>
    <col min="16" max="16" width="10.7109375" customWidth="1"/>
    <col min="17" max="17" width="10.5703125" customWidth="1"/>
  </cols>
  <sheetData>
    <row r="1" spans="1:16" ht="15.75">
      <c r="A1" s="1" t="s">
        <v>128</v>
      </c>
      <c r="B1" s="2"/>
      <c r="C1" s="2"/>
      <c r="D1" s="2"/>
      <c r="E1" s="3"/>
      <c r="F1" s="4"/>
      <c r="H1" s="4"/>
      <c r="I1" s="6"/>
      <c r="L1" s="4"/>
      <c r="M1" s="4"/>
      <c r="N1" s="7"/>
      <c r="P1" s="8" t="s">
        <v>0</v>
      </c>
    </row>
    <row r="2" spans="1:16" ht="15.75">
      <c r="A2" s="9" t="s">
        <v>1</v>
      </c>
      <c r="B2" s="4"/>
      <c r="C2" s="8"/>
      <c r="D2" s="4"/>
      <c r="E2" s="4"/>
      <c r="F2" s="4"/>
      <c r="G2" s="10">
        <v>2008</v>
      </c>
      <c r="H2" s="4"/>
      <c r="I2" s="6"/>
      <c r="K2" s="11"/>
      <c r="L2" s="4"/>
      <c r="M2" s="4"/>
      <c r="N2" s="7"/>
      <c r="O2" s="7"/>
    </row>
    <row r="3" spans="1:16" ht="15.75">
      <c r="A3" s="9" t="s">
        <v>2</v>
      </c>
      <c r="B3" s="4"/>
      <c r="C3" s="8"/>
      <c r="D3" s="4"/>
      <c r="E3" s="4"/>
      <c r="F3" s="4"/>
      <c r="G3" s="12"/>
      <c r="H3" s="4"/>
      <c r="I3" s="6"/>
      <c r="K3" s="11"/>
      <c r="L3" s="4"/>
      <c r="M3" s="4"/>
      <c r="N3" s="7"/>
      <c r="O3" s="7"/>
    </row>
    <row r="4" spans="1:16" ht="15.75">
      <c r="A4" s="9"/>
      <c r="B4" s="4"/>
      <c r="C4" s="8"/>
      <c r="D4" s="4"/>
      <c r="E4" s="4"/>
      <c r="F4" s="4"/>
      <c r="G4" s="12"/>
      <c r="H4" s="4"/>
      <c r="I4" s="6"/>
      <c r="K4" s="11"/>
      <c r="L4" s="4"/>
      <c r="M4" s="4"/>
      <c r="N4" s="7"/>
      <c r="O4" s="7"/>
    </row>
    <row r="5" spans="1:16" ht="15.75">
      <c r="A5" s="9"/>
      <c r="B5" s="13"/>
      <c r="C5" s="13"/>
      <c r="D5" s="13"/>
      <c r="E5" s="13"/>
      <c r="F5" s="14"/>
      <c r="G5" s="12" t="s">
        <v>3</v>
      </c>
      <c r="H5" s="4"/>
      <c r="I5" s="6"/>
      <c r="J5" s="15"/>
      <c r="K5" s="16"/>
      <c r="L5" s="17" t="s">
        <v>4</v>
      </c>
      <c r="M5" s="18"/>
      <c r="N5" s="19" t="s">
        <v>5</v>
      </c>
      <c r="O5" s="19" t="s">
        <v>6</v>
      </c>
    </row>
    <row r="6" spans="1:16" ht="15.75">
      <c r="A6" s="20"/>
      <c r="B6" s="20" t="s">
        <v>7</v>
      </c>
      <c r="C6" s="20"/>
      <c r="D6" s="20" t="s">
        <v>8</v>
      </c>
      <c r="E6" s="20" t="s">
        <v>9</v>
      </c>
      <c r="F6" s="21" t="s">
        <v>10</v>
      </c>
      <c r="G6" s="22" t="s">
        <v>11</v>
      </c>
      <c r="H6" s="23" t="s">
        <v>12</v>
      </c>
      <c r="I6" s="24" t="s">
        <v>11</v>
      </c>
      <c r="J6" s="25" t="s">
        <v>13</v>
      </c>
      <c r="K6" s="24" t="s">
        <v>14</v>
      </c>
      <c r="L6" s="26" t="s">
        <v>15</v>
      </c>
      <c r="M6" s="26" t="s">
        <v>16</v>
      </c>
      <c r="N6" s="27" t="s">
        <v>17</v>
      </c>
      <c r="O6" s="27" t="s">
        <v>18</v>
      </c>
    </row>
    <row r="7" spans="1:16">
      <c r="I7" s="6"/>
      <c r="L7" s="28" t="s">
        <v>19</v>
      </c>
      <c r="N7" s="7"/>
      <c r="O7" s="7"/>
    </row>
    <row r="8" spans="1:16">
      <c r="I8" s="6"/>
      <c r="L8" s="28" t="s">
        <v>20</v>
      </c>
      <c r="N8" s="7"/>
      <c r="O8" s="7"/>
    </row>
    <row r="9" spans="1:16" ht="15.75">
      <c r="A9" s="29" t="s">
        <v>21</v>
      </c>
      <c r="B9" s="29"/>
      <c r="C9" s="29"/>
      <c r="D9" s="30"/>
      <c r="E9" s="30"/>
      <c r="F9" s="31"/>
      <c r="G9" s="32"/>
      <c r="H9" s="31"/>
      <c r="I9" s="33"/>
      <c r="J9" s="33"/>
      <c r="K9" s="33"/>
      <c r="L9" s="28" t="s">
        <v>22</v>
      </c>
      <c r="M9" s="4"/>
      <c r="N9" s="34"/>
      <c r="O9" s="7"/>
    </row>
    <row r="10" spans="1:16">
      <c r="A10" s="13" t="s">
        <v>23</v>
      </c>
      <c r="B10" s="35">
        <v>92081</v>
      </c>
      <c r="C10" s="13" t="s">
        <v>24</v>
      </c>
      <c r="D10" s="35">
        <v>1</v>
      </c>
      <c r="E10" s="13" t="s">
        <v>25</v>
      </c>
      <c r="F10" s="36">
        <v>191</v>
      </c>
      <c r="G10" s="37">
        <v>1.28</v>
      </c>
      <c r="H10" s="38">
        <f t="shared" ref="H10:H18" si="0">+F10*G10</f>
        <v>244.48000000000002</v>
      </c>
      <c r="I10" s="147">
        <v>30.13</v>
      </c>
      <c r="J10" s="6">
        <f t="shared" ref="J10:J18" si="1">H10*I10</f>
        <v>7366.1824000000006</v>
      </c>
      <c r="K10" s="6">
        <f t="shared" ref="K10:K19" si="2">J10/12</f>
        <v>613.84853333333342</v>
      </c>
    </row>
    <row r="11" spans="1:16">
      <c r="A11" s="13" t="s">
        <v>23</v>
      </c>
      <c r="B11" s="35">
        <v>92050</v>
      </c>
      <c r="C11" s="13" t="s">
        <v>26</v>
      </c>
      <c r="D11" s="35">
        <v>2</v>
      </c>
      <c r="E11" s="13" t="s">
        <v>27</v>
      </c>
      <c r="F11" s="36">
        <f>18058-237</f>
        <v>17821</v>
      </c>
      <c r="G11" s="37">
        <v>1.53</v>
      </c>
      <c r="H11" s="38">
        <f t="shared" si="0"/>
        <v>27266.13</v>
      </c>
      <c r="I11" s="147">
        <v>23.65</v>
      </c>
      <c r="J11" s="6">
        <f t="shared" si="1"/>
        <v>644843.97450000001</v>
      </c>
      <c r="K11" s="6">
        <f t="shared" si="2"/>
        <v>53736.997875000001</v>
      </c>
    </row>
    <row r="12" spans="1:16">
      <c r="A12" s="13" t="s">
        <v>23</v>
      </c>
      <c r="B12" s="35">
        <v>92070</v>
      </c>
      <c r="C12" s="13" t="s">
        <v>28</v>
      </c>
      <c r="D12" s="35">
        <v>1</v>
      </c>
      <c r="E12" s="13" t="s">
        <v>25</v>
      </c>
      <c r="F12" s="36">
        <v>0</v>
      </c>
      <c r="G12" s="37">
        <v>1.62</v>
      </c>
      <c r="H12" s="38">
        <f t="shared" si="0"/>
        <v>0</v>
      </c>
      <c r="I12" s="147">
        <v>24.45</v>
      </c>
      <c r="J12" s="6">
        <f t="shared" si="1"/>
        <v>0</v>
      </c>
      <c r="K12" s="6">
        <f t="shared" si="2"/>
        <v>0</v>
      </c>
    </row>
    <row r="13" spans="1:16">
      <c r="A13" s="13" t="s">
        <v>23</v>
      </c>
      <c r="B13" s="35">
        <v>92071</v>
      </c>
      <c r="C13" s="13" t="s">
        <v>29</v>
      </c>
      <c r="D13" s="35">
        <v>1</v>
      </c>
      <c r="E13" s="13" t="s">
        <v>25</v>
      </c>
      <c r="F13" s="36">
        <v>0</v>
      </c>
      <c r="G13" s="37">
        <v>1.1499999999999999</v>
      </c>
      <c r="H13" s="38">
        <f t="shared" si="0"/>
        <v>0</v>
      </c>
      <c r="I13" s="147">
        <v>15.81</v>
      </c>
      <c r="J13" s="6">
        <f t="shared" si="1"/>
        <v>0</v>
      </c>
      <c r="K13" s="6">
        <f t="shared" si="2"/>
        <v>0</v>
      </c>
    </row>
    <row r="14" spans="1:16">
      <c r="A14" s="13" t="s">
        <v>23</v>
      </c>
      <c r="B14" s="35">
        <v>92067</v>
      </c>
      <c r="C14" s="13" t="s">
        <v>30</v>
      </c>
      <c r="D14" s="35">
        <v>1</v>
      </c>
      <c r="E14" s="13" t="s">
        <v>25</v>
      </c>
      <c r="F14" s="36">
        <v>0</v>
      </c>
      <c r="G14" s="37">
        <v>1.76</v>
      </c>
      <c r="H14" s="38">
        <f t="shared" si="0"/>
        <v>0</v>
      </c>
      <c r="I14" s="147">
        <v>38.450000000000003</v>
      </c>
      <c r="J14" s="6">
        <f t="shared" si="1"/>
        <v>0</v>
      </c>
      <c r="K14" s="6">
        <f t="shared" si="2"/>
        <v>0</v>
      </c>
    </row>
    <row r="15" spans="1:16">
      <c r="A15" s="13" t="s">
        <v>23</v>
      </c>
      <c r="B15" s="35">
        <v>92051</v>
      </c>
      <c r="C15" s="13" t="s">
        <v>31</v>
      </c>
      <c r="D15" s="35">
        <v>4</v>
      </c>
      <c r="E15" s="13" t="s">
        <v>25</v>
      </c>
      <c r="F15" s="36">
        <v>510</v>
      </c>
      <c r="G15" s="37">
        <v>1.31</v>
      </c>
      <c r="H15" s="38">
        <f t="shared" si="0"/>
        <v>668.1</v>
      </c>
      <c r="I15" s="147">
        <v>22.69</v>
      </c>
      <c r="J15" s="6">
        <f t="shared" si="1"/>
        <v>15159.189000000002</v>
      </c>
      <c r="K15" s="6">
        <f t="shared" si="2"/>
        <v>1263.2657500000003</v>
      </c>
    </row>
    <row r="16" spans="1:16">
      <c r="A16" s="13" t="s">
        <v>23</v>
      </c>
      <c r="B16" s="35">
        <v>92051</v>
      </c>
      <c r="C16" s="13" t="s">
        <v>31</v>
      </c>
      <c r="D16" s="35" t="s">
        <v>32</v>
      </c>
      <c r="E16" s="13" t="s">
        <v>25</v>
      </c>
      <c r="F16" s="36">
        <v>2160</v>
      </c>
      <c r="G16" s="37">
        <v>1.31</v>
      </c>
      <c r="H16" s="38">
        <f t="shared" si="0"/>
        <v>2829.6</v>
      </c>
      <c r="I16" s="147">
        <v>22.69</v>
      </c>
      <c r="J16" s="6">
        <f t="shared" si="1"/>
        <v>64203.624000000003</v>
      </c>
      <c r="K16" s="6">
        <f t="shared" si="2"/>
        <v>5350.3020000000006</v>
      </c>
    </row>
    <row r="17" spans="1:13">
      <c r="A17" s="13" t="s">
        <v>23</v>
      </c>
      <c r="B17" s="35">
        <v>92077</v>
      </c>
      <c r="C17" s="13" t="s">
        <v>33</v>
      </c>
      <c r="D17" s="35">
        <v>1</v>
      </c>
      <c r="E17" s="13" t="s">
        <v>25</v>
      </c>
      <c r="F17" s="36">
        <v>805</v>
      </c>
      <c r="G17" s="37">
        <v>1.26</v>
      </c>
      <c r="H17" s="38">
        <f t="shared" si="0"/>
        <v>1014.3</v>
      </c>
      <c r="I17" s="147">
        <v>21.13</v>
      </c>
      <c r="J17" s="6">
        <f t="shared" si="1"/>
        <v>21432.159</v>
      </c>
      <c r="K17" s="6">
        <f t="shared" si="2"/>
        <v>1786.01325</v>
      </c>
    </row>
    <row r="18" spans="1:13">
      <c r="A18" s="13" t="s">
        <v>23</v>
      </c>
      <c r="B18" s="35">
        <v>92061</v>
      </c>
      <c r="C18" s="13" t="s">
        <v>34</v>
      </c>
      <c r="D18" s="35">
        <v>1</v>
      </c>
      <c r="E18" s="39" t="s">
        <v>25</v>
      </c>
      <c r="F18" s="36">
        <v>0</v>
      </c>
      <c r="G18" s="37">
        <v>1.3</v>
      </c>
      <c r="H18" s="38">
        <f t="shared" si="0"/>
        <v>0</v>
      </c>
      <c r="I18" s="147">
        <v>22.66</v>
      </c>
      <c r="J18" s="6">
        <f t="shared" si="1"/>
        <v>0</v>
      </c>
      <c r="K18" s="6">
        <f t="shared" si="2"/>
        <v>0</v>
      </c>
    </row>
    <row r="19" spans="1:13">
      <c r="D19" s="35"/>
      <c r="E19" s="39"/>
      <c r="F19" s="40">
        <f>SUM(F10:F18)</f>
        <v>21487</v>
      </c>
      <c r="G19" s="37"/>
      <c r="H19" s="41">
        <f>SUM(H10:H18)</f>
        <v>32022.609999999997</v>
      </c>
      <c r="I19" s="148"/>
      <c r="J19" s="42">
        <v>753005.04</v>
      </c>
      <c r="K19" s="42">
        <f t="shared" si="2"/>
        <v>62750.420000000006</v>
      </c>
      <c r="L19" t="s">
        <v>35</v>
      </c>
      <c r="M19" s="43" t="s">
        <v>36</v>
      </c>
    </row>
    <row r="20" spans="1:13">
      <c r="A20" s="13"/>
      <c r="B20" s="35"/>
      <c r="C20" s="13"/>
      <c r="D20" s="35"/>
      <c r="E20" s="13"/>
      <c r="F20" s="36"/>
      <c r="G20" s="37"/>
      <c r="H20" s="44"/>
      <c r="I20" s="149"/>
      <c r="L20" s="45"/>
      <c r="M20" s="45"/>
    </row>
    <row r="21" spans="1:13">
      <c r="A21" s="13" t="s">
        <v>23</v>
      </c>
      <c r="B21" s="35">
        <v>92050</v>
      </c>
      <c r="C21" s="13" t="s">
        <v>26</v>
      </c>
      <c r="D21" s="35">
        <v>5</v>
      </c>
      <c r="E21" s="13" t="s">
        <v>37</v>
      </c>
      <c r="F21" s="46">
        <v>175</v>
      </c>
      <c r="G21" s="37">
        <v>1.53</v>
      </c>
      <c r="H21" s="38">
        <f>+F21*G21</f>
        <v>267.75</v>
      </c>
      <c r="I21" s="147">
        <v>23.65</v>
      </c>
      <c r="J21" s="6">
        <f>+H21*I21</f>
        <v>6332.2874999999995</v>
      </c>
      <c r="K21" s="6">
        <f>+J21/12</f>
        <v>527.69062499999995</v>
      </c>
      <c r="L21" t="s">
        <v>38</v>
      </c>
      <c r="M21" s="43"/>
    </row>
    <row r="22" spans="1:13">
      <c r="A22" s="13" t="s">
        <v>23</v>
      </c>
      <c r="B22" s="35">
        <v>92050</v>
      </c>
      <c r="C22" s="13" t="s">
        <v>26</v>
      </c>
      <c r="D22" s="35">
        <v>5</v>
      </c>
      <c r="E22" s="13" t="s">
        <v>39</v>
      </c>
      <c r="F22" s="46">
        <v>1487</v>
      </c>
      <c r="G22" s="37">
        <v>1.53</v>
      </c>
      <c r="H22" s="38">
        <f>+F22*G22</f>
        <v>2275.11</v>
      </c>
      <c r="I22" s="147">
        <v>23.65</v>
      </c>
      <c r="J22" s="6">
        <f>+H22*I22</f>
        <v>53806.351499999997</v>
      </c>
      <c r="K22" s="6">
        <f>+J22/12</f>
        <v>4483.8626249999998</v>
      </c>
      <c r="L22" t="s">
        <v>40</v>
      </c>
      <c r="M22" s="43"/>
    </row>
    <row r="23" spans="1:13">
      <c r="A23" s="13" t="s">
        <v>23</v>
      </c>
      <c r="B23" s="35">
        <v>92050</v>
      </c>
      <c r="C23" s="13" t="s">
        <v>26</v>
      </c>
      <c r="D23" s="35">
        <v>5</v>
      </c>
      <c r="E23" s="13" t="s">
        <v>41</v>
      </c>
      <c r="F23" s="46">
        <v>578</v>
      </c>
      <c r="G23" s="37">
        <v>1.53</v>
      </c>
      <c r="H23" s="38">
        <f>+F23*G23</f>
        <v>884.34</v>
      </c>
      <c r="I23" s="147">
        <v>23.65</v>
      </c>
      <c r="J23" s="6">
        <f>+H23*I23</f>
        <v>20914.641</v>
      </c>
      <c r="K23" s="6">
        <f>+J23/12</f>
        <v>1742.8867499999999</v>
      </c>
      <c r="L23" t="s">
        <v>42</v>
      </c>
      <c r="M23" s="43"/>
    </row>
    <row r="24" spans="1:13">
      <c r="A24" s="13" t="s">
        <v>23</v>
      </c>
      <c r="B24" s="35">
        <v>92050</v>
      </c>
      <c r="C24" s="13" t="s">
        <v>26</v>
      </c>
      <c r="D24" s="35">
        <v>5</v>
      </c>
      <c r="E24" s="13" t="s">
        <v>43</v>
      </c>
      <c r="F24" s="47"/>
      <c r="G24" s="37"/>
      <c r="H24" s="44"/>
      <c r="I24" s="147"/>
      <c r="M24" s="48"/>
    </row>
    <row r="25" spans="1:13">
      <c r="A25" s="13"/>
      <c r="B25" s="35"/>
      <c r="C25" s="13"/>
      <c r="D25" s="35"/>
      <c r="E25" s="13"/>
      <c r="F25" s="40">
        <f>SUM(F21:F24)</f>
        <v>2240</v>
      </c>
      <c r="G25" s="37">
        <v>1.53</v>
      </c>
      <c r="H25" s="49">
        <f>+F25*G25</f>
        <v>3427.2000000000003</v>
      </c>
      <c r="I25" s="147">
        <v>23.65</v>
      </c>
      <c r="J25" s="42">
        <f>SUM(J21:J24)</f>
        <v>81053.279999999999</v>
      </c>
      <c r="K25" s="50">
        <f>SUM(K21:K24)</f>
        <v>6754.44</v>
      </c>
      <c r="M25" s="43" t="s">
        <v>36</v>
      </c>
    </row>
    <row r="26" spans="1:13">
      <c r="A26" s="13"/>
      <c r="B26" s="35"/>
      <c r="C26" s="13"/>
      <c r="D26" s="35"/>
      <c r="E26" s="13"/>
      <c r="F26" s="36"/>
      <c r="G26" s="37"/>
      <c r="H26" s="44"/>
      <c r="I26" s="147"/>
    </row>
    <row r="27" spans="1:13">
      <c r="A27" s="13" t="s">
        <v>23</v>
      </c>
      <c r="B27" s="35">
        <v>92050</v>
      </c>
      <c r="C27" s="13" t="s">
        <v>26</v>
      </c>
      <c r="D27" s="35">
        <v>5</v>
      </c>
      <c r="E27" s="13" t="s">
        <v>44</v>
      </c>
      <c r="F27" s="36">
        <v>492</v>
      </c>
      <c r="G27" s="37">
        <v>1.53</v>
      </c>
      <c r="H27" s="38">
        <f>+F27*G27</f>
        <v>752.76</v>
      </c>
      <c r="I27" s="147">
        <v>23.65</v>
      </c>
      <c r="J27" s="6">
        <f>+H27*I27</f>
        <v>17802.773999999998</v>
      </c>
      <c r="K27" s="6">
        <f>+J27/12</f>
        <v>1483.5644999999997</v>
      </c>
      <c r="L27" t="s">
        <v>45</v>
      </c>
      <c r="M27" s="43"/>
    </row>
    <row r="28" spans="1:13">
      <c r="A28" s="13" t="s">
        <v>23</v>
      </c>
      <c r="B28" s="35">
        <v>92050</v>
      </c>
      <c r="C28" s="13" t="s">
        <v>26</v>
      </c>
      <c r="D28" s="35">
        <v>5</v>
      </c>
      <c r="E28" s="13" t="s">
        <v>46</v>
      </c>
      <c r="F28" s="36">
        <v>429</v>
      </c>
      <c r="G28" s="37">
        <v>1.53</v>
      </c>
      <c r="H28" s="38">
        <f>+F28*G28</f>
        <v>656.37</v>
      </c>
      <c r="I28" s="147">
        <v>23.65</v>
      </c>
      <c r="J28" s="6">
        <f>+H28*I28</f>
        <v>15523.1505</v>
      </c>
      <c r="K28" s="6">
        <f>+J28/12</f>
        <v>1293.595875</v>
      </c>
      <c r="L28" t="s">
        <v>47</v>
      </c>
      <c r="M28" s="43"/>
    </row>
    <row r="29" spans="1:13">
      <c r="A29" s="13" t="s">
        <v>23</v>
      </c>
      <c r="B29" s="35">
        <v>92050</v>
      </c>
      <c r="C29" s="13" t="s">
        <v>26</v>
      </c>
      <c r="D29" s="35">
        <v>5</v>
      </c>
      <c r="E29" s="13" t="s">
        <v>48</v>
      </c>
      <c r="F29" s="36">
        <v>636</v>
      </c>
      <c r="G29" s="37">
        <v>1.53</v>
      </c>
      <c r="H29" s="38">
        <f>+F29*G29</f>
        <v>973.08</v>
      </c>
      <c r="I29" s="147">
        <v>23.65</v>
      </c>
      <c r="J29" s="6">
        <f>+H29*I29</f>
        <v>23013.342000000001</v>
      </c>
      <c r="K29" s="6">
        <f>+J29/12</f>
        <v>1917.7785000000001</v>
      </c>
      <c r="L29" t="s">
        <v>49</v>
      </c>
      <c r="M29" s="43"/>
    </row>
    <row r="30" spans="1:13">
      <c r="A30" s="13"/>
      <c r="B30" s="35"/>
      <c r="C30" s="13"/>
      <c r="D30" s="35"/>
      <c r="E30" s="13"/>
      <c r="F30" s="40">
        <f>SUM(F27:F29)</f>
        <v>1557</v>
      </c>
      <c r="G30" s="37"/>
      <c r="H30" s="49">
        <f>SUM(H27:H29)</f>
        <v>2382.21</v>
      </c>
      <c r="I30" s="147"/>
      <c r="J30" s="42">
        <f>SUM(J27:J29)</f>
        <v>56339.266499999998</v>
      </c>
      <c r="K30" s="42">
        <f>SUM(K27:K29)</f>
        <v>4694.9388749999998</v>
      </c>
      <c r="M30" s="43" t="s">
        <v>36</v>
      </c>
    </row>
    <row r="31" spans="1:13">
      <c r="A31" s="13"/>
      <c r="B31" s="35"/>
      <c r="C31" s="13"/>
      <c r="D31" s="35"/>
      <c r="E31" s="13"/>
      <c r="F31" s="51"/>
      <c r="G31" s="37"/>
      <c r="H31" s="51"/>
      <c r="I31" s="147"/>
    </row>
    <row r="32" spans="1:13">
      <c r="A32" s="13" t="s">
        <v>23</v>
      </c>
      <c r="B32" s="35">
        <v>92050</v>
      </c>
      <c r="C32" s="13" t="s">
        <v>26</v>
      </c>
      <c r="D32" s="35">
        <v>4</v>
      </c>
      <c r="E32" s="13" t="s">
        <v>50</v>
      </c>
      <c r="F32" s="40">
        <v>2521</v>
      </c>
      <c r="G32" s="37">
        <v>1.53</v>
      </c>
      <c r="H32" s="49">
        <f>+F32*G32</f>
        <v>3857.13</v>
      </c>
      <c r="I32" s="148">
        <v>23.65</v>
      </c>
      <c r="J32" s="42">
        <f>+H32*I32</f>
        <v>91221.124499999991</v>
      </c>
      <c r="K32" s="42">
        <f>+J32/12</f>
        <v>7601.7603749999989</v>
      </c>
      <c r="L32" t="s">
        <v>51</v>
      </c>
      <c r="M32" s="7" t="s">
        <v>36</v>
      </c>
    </row>
    <row r="33" spans="1:17">
      <c r="A33" s="13"/>
      <c r="B33" s="35"/>
      <c r="C33" s="13"/>
      <c r="D33" s="35"/>
      <c r="E33" s="13"/>
      <c r="F33" s="36"/>
      <c r="G33" s="37"/>
      <c r="H33" s="36"/>
      <c r="I33" s="147"/>
    </row>
    <row r="34" spans="1:17">
      <c r="A34" s="13" t="s">
        <v>23</v>
      </c>
      <c r="B34" s="35">
        <v>92050</v>
      </c>
      <c r="C34" s="13" t="s">
        <v>26</v>
      </c>
      <c r="D34" s="35">
        <v>4</v>
      </c>
      <c r="E34" s="13" t="s">
        <v>52</v>
      </c>
      <c r="F34" s="40">
        <v>671</v>
      </c>
      <c r="G34" s="37">
        <v>1.53</v>
      </c>
      <c r="H34" s="49">
        <f>+F34*G34</f>
        <v>1026.6300000000001</v>
      </c>
      <c r="I34" s="148">
        <v>23.65</v>
      </c>
      <c r="J34" s="42">
        <f>+H34*I34</f>
        <v>24279.799500000001</v>
      </c>
      <c r="K34" s="42">
        <f>+J34/12</f>
        <v>2023.3166250000002</v>
      </c>
      <c r="L34" t="s">
        <v>53</v>
      </c>
      <c r="M34" s="7" t="s">
        <v>36</v>
      </c>
    </row>
    <row r="35" spans="1:17">
      <c r="A35" s="13"/>
      <c r="B35" s="35"/>
      <c r="C35" s="13"/>
      <c r="D35" s="35"/>
      <c r="E35" s="13"/>
      <c r="F35" s="36"/>
      <c r="G35" s="37"/>
      <c r="H35" s="51"/>
      <c r="I35" s="147"/>
    </row>
    <row r="36" spans="1:17">
      <c r="A36" s="13" t="s">
        <v>23</v>
      </c>
      <c r="B36" s="35">
        <v>92052</v>
      </c>
      <c r="C36" s="13" t="s">
        <v>54</v>
      </c>
      <c r="D36" s="35">
        <v>1</v>
      </c>
      <c r="E36" s="13" t="s">
        <v>55</v>
      </c>
      <c r="F36" s="36">
        <v>0</v>
      </c>
      <c r="G36" s="5">
        <v>1.53</v>
      </c>
      <c r="H36" s="38">
        <f>+F36*G36</f>
        <v>0</v>
      </c>
      <c r="I36" s="147">
        <v>12.91</v>
      </c>
      <c r="J36" s="6">
        <f>+H36*I36</f>
        <v>0</v>
      </c>
      <c r="K36" s="6">
        <f>+J36/12</f>
        <v>0</v>
      </c>
      <c r="L36" s="52" t="s">
        <v>56</v>
      </c>
      <c r="M36" s="43"/>
      <c r="N36" s="53">
        <f>+K36*0.06</f>
        <v>0</v>
      </c>
      <c r="O36" s="53">
        <f>+K36*0.015</f>
        <v>0</v>
      </c>
      <c r="P36" s="45">
        <f>+K36+N36+O36</f>
        <v>0</v>
      </c>
    </row>
    <row r="37" spans="1:17">
      <c r="A37" s="31" t="s">
        <v>23</v>
      </c>
      <c r="B37" s="54">
        <v>92050</v>
      </c>
      <c r="C37" s="31" t="s">
        <v>26</v>
      </c>
      <c r="D37" s="54">
        <v>2</v>
      </c>
      <c r="E37" s="13" t="s">
        <v>57</v>
      </c>
      <c r="F37" s="36">
        <v>0</v>
      </c>
      <c r="G37" s="37"/>
      <c r="H37" s="38">
        <f>+F37*G37</f>
        <v>0</v>
      </c>
      <c r="I37" s="147">
        <v>23.65</v>
      </c>
      <c r="J37" s="6">
        <f>+H37*I37</f>
        <v>0</v>
      </c>
      <c r="K37" s="6">
        <f>+J37/12</f>
        <v>0</v>
      </c>
      <c r="L37" s="52" t="s">
        <v>56</v>
      </c>
      <c r="M37" s="43"/>
      <c r="N37" s="53">
        <f>+K37*0.06</f>
        <v>0</v>
      </c>
      <c r="O37" s="53">
        <f>+K37*0.015</f>
        <v>0</v>
      </c>
      <c r="P37" s="45">
        <f>+K37+N37+O37</f>
        <v>0</v>
      </c>
    </row>
    <row r="38" spans="1:17">
      <c r="A38" s="13" t="s">
        <v>23</v>
      </c>
      <c r="B38" s="35">
        <v>92085</v>
      </c>
      <c r="C38" s="13" t="s">
        <v>58</v>
      </c>
      <c r="D38" s="35">
        <v>1</v>
      </c>
      <c r="E38" s="13" t="s">
        <v>57</v>
      </c>
      <c r="F38" s="36">
        <v>168</v>
      </c>
      <c r="G38" s="37">
        <v>1.51</v>
      </c>
      <c r="H38" s="38">
        <f>+F38*G38</f>
        <v>253.68</v>
      </c>
      <c r="I38" s="147">
        <v>20.51</v>
      </c>
      <c r="J38" s="6">
        <f>+H38*I38</f>
        <v>5202.9768000000004</v>
      </c>
      <c r="K38" s="6">
        <f>+J38/12</f>
        <v>433.58140000000003</v>
      </c>
      <c r="L38" s="52" t="s">
        <v>56</v>
      </c>
      <c r="M38" s="43"/>
      <c r="N38" s="53">
        <f>+K38*0.06</f>
        <v>26.014884000000002</v>
      </c>
      <c r="O38" s="53">
        <f>+K38*0.01</f>
        <v>4.3358140000000001</v>
      </c>
      <c r="P38" s="45">
        <f>+K38+N38+O38</f>
        <v>463.93209800000005</v>
      </c>
      <c r="Q38" s="28" t="s">
        <v>59</v>
      </c>
    </row>
    <row r="39" spans="1:17">
      <c r="A39" s="13" t="s">
        <v>23</v>
      </c>
      <c r="B39" s="35">
        <v>92051</v>
      </c>
      <c r="C39" s="13" t="s">
        <v>60</v>
      </c>
      <c r="D39" s="35">
        <v>3</v>
      </c>
      <c r="E39" s="13" t="s">
        <v>57</v>
      </c>
      <c r="F39" s="36">
        <v>2510</v>
      </c>
      <c r="G39" s="37">
        <v>1.31</v>
      </c>
      <c r="H39" s="38">
        <f>+F39*G39</f>
        <v>3288.1</v>
      </c>
      <c r="I39" s="147">
        <v>22.69</v>
      </c>
      <c r="J39" s="6">
        <f>+H39*I39</f>
        <v>74606.989000000001</v>
      </c>
      <c r="K39" s="6">
        <f>+J39/12</f>
        <v>6217.2490833333331</v>
      </c>
      <c r="L39" s="52" t="s">
        <v>56</v>
      </c>
      <c r="M39" s="43"/>
      <c r="N39" s="53">
        <f>+K39*0.06</f>
        <v>373.03494499999999</v>
      </c>
      <c r="O39" s="53">
        <f>+K39*0.015</f>
        <v>93.258736249999998</v>
      </c>
      <c r="P39" s="45">
        <f>+K39+N39+O39</f>
        <v>6683.5427645833333</v>
      </c>
      <c r="Q39" s="28" t="s">
        <v>61</v>
      </c>
    </row>
    <row r="40" spans="1:17">
      <c r="A40" s="13" t="s">
        <v>23</v>
      </c>
      <c r="B40" s="35">
        <v>92076</v>
      </c>
      <c r="C40" s="13" t="s">
        <v>62</v>
      </c>
      <c r="D40" s="35">
        <v>1</v>
      </c>
      <c r="E40" s="13" t="s">
        <v>57</v>
      </c>
      <c r="F40" s="36">
        <v>92</v>
      </c>
      <c r="G40" s="37">
        <v>1.6</v>
      </c>
      <c r="H40" s="38">
        <f>+F40*G40</f>
        <v>147.20000000000002</v>
      </c>
      <c r="I40" s="147">
        <v>21.13</v>
      </c>
      <c r="J40" s="6">
        <f>+H40*I40</f>
        <v>3110.3360000000002</v>
      </c>
      <c r="K40" s="6">
        <f>+J40/12</f>
        <v>259.19466666666671</v>
      </c>
      <c r="L40" s="52" t="s">
        <v>56</v>
      </c>
      <c r="M40" s="43"/>
      <c r="N40" s="53">
        <f>+K40*0.06</f>
        <v>15.551680000000001</v>
      </c>
      <c r="O40" s="53">
        <f>+K40*0.01</f>
        <v>2.5919466666666673</v>
      </c>
      <c r="P40" s="45">
        <f>+K40+N40+O40-0.01</f>
        <v>277.32829333333336</v>
      </c>
      <c r="Q40" s="28" t="s">
        <v>63</v>
      </c>
    </row>
    <row r="41" spans="1:17">
      <c r="A41" s="13"/>
      <c r="B41" s="35"/>
      <c r="C41" s="13"/>
      <c r="D41" s="35"/>
      <c r="E41" s="13"/>
      <c r="F41" s="40">
        <f>SUM(F36:F40)</f>
        <v>2770</v>
      </c>
      <c r="H41" s="49">
        <f>SUM(H36:H40)</f>
        <v>3688.9799999999996</v>
      </c>
      <c r="J41" s="42">
        <f>SUM(J36:J40)</f>
        <v>82920.301800000001</v>
      </c>
      <c r="K41" s="42">
        <f>SUM(K36:K40)-0.01</f>
        <v>6910.0151499999993</v>
      </c>
      <c r="M41" s="48" t="s">
        <v>36</v>
      </c>
      <c r="N41" s="55">
        <f>SUM(N36:N40)-0.01</f>
        <v>414.59150899999997</v>
      </c>
      <c r="O41" s="56">
        <f>SUM(O36:O40)</f>
        <v>100.18649691666667</v>
      </c>
      <c r="P41" s="55">
        <f>SUM(P36:P40)</f>
        <v>7424.8031559166666</v>
      </c>
      <c r="Q41" s="57" t="s">
        <v>64</v>
      </c>
    </row>
    <row r="42" spans="1:17">
      <c r="A42" s="13"/>
      <c r="B42" s="35"/>
      <c r="C42" s="13"/>
      <c r="D42" s="35"/>
      <c r="E42" s="13"/>
      <c r="F42" s="36"/>
      <c r="H42" s="36"/>
      <c r="J42" s="58"/>
      <c r="K42" s="58"/>
      <c r="N42" s="59"/>
      <c r="O42" s="59"/>
      <c r="P42" s="59"/>
    </row>
    <row r="43" spans="1:17">
      <c r="A43" s="13" t="s">
        <v>23</v>
      </c>
      <c r="B43" s="35"/>
      <c r="C43" s="13" t="s">
        <v>65</v>
      </c>
      <c r="D43" s="35"/>
      <c r="E43" s="13" t="s">
        <v>66</v>
      </c>
      <c r="F43" s="36"/>
      <c r="G43" s="37"/>
      <c r="H43" s="44"/>
      <c r="J43" s="6">
        <f>+K43*12</f>
        <v>2736.96</v>
      </c>
      <c r="K43" s="6">
        <v>228.08</v>
      </c>
      <c r="L43" t="s">
        <v>67</v>
      </c>
    </row>
    <row r="44" spans="1:17">
      <c r="A44" s="13" t="s">
        <v>23</v>
      </c>
      <c r="B44" s="35"/>
      <c r="C44" s="13" t="s">
        <v>65</v>
      </c>
      <c r="D44" s="35"/>
      <c r="E44" s="13" t="s">
        <v>68</v>
      </c>
      <c r="F44" s="36"/>
      <c r="G44" s="37"/>
      <c r="H44" s="44"/>
      <c r="J44" s="6">
        <f>+K44*12</f>
        <v>304.20000000000005</v>
      </c>
      <c r="K44" s="6">
        <v>25.35</v>
      </c>
      <c r="L44" t="s">
        <v>69</v>
      </c>
    </row>
    <row r="45" spans="1:17">
      <c r="J45" s="42">
        <f>SUM(J43:J44)</f>
        <v>3041.16</v>
      </c>
      <c r="K45" s="42">
        <f>SUM(K43:K44)</f>
        <v>253.43</v>
      </c>
      <c r="M45" t="s">
        <v>36</v>
      </c>
    </row>
    <row r="46" spans="1:17" ht="15.75" thickBot="1"/>
    <row r="47" spans="1:17" ht="16.5" thickTop="1" thickBot="1">
      <c r="F47" s="60">
        <f>SUM(F19,F25,F30,F32,F34,F41)</f>
        <v>31246</v>
      </c>
      <c r="H47" s="60">
        <f>SUM(H19,H25,H30,H32,H34,H41)</f>
        <v>46404.759999999995</v>
      </c>
      <c r="J47" s="61">
        <f>SUM(J19,J25,J30,J32,J34,J41,J45)</f>
        <v>1091859.9723</v>
      </c>
      <c r="K47" s="61">
        <f>SUM(K19,K25,K30,K32,K34,K41,K45)+0.01</f>
        <v>90988.331025000007</v>
      </c>
      <c r="N47" s="62">
        <f>+N41</f>
        <v>414.59150899999997</v>
      </c>
      <c r="O47" s="63">
        <f>+O41</f>
        <v>100.18649691666667</v>
      </c>
      <c r="P47" s="64">
        <f>SUM(K47:O47)</f>
        <v>91503.109030916676</v>
      </c>
    </row>
    <row r="48" spans="1:17" ht="15.75" thickTop="1"/>
    <row r="49" spans="1:8">
      <c r="A49" s="155" t="s">
        <v>134</v>
      </c>
    </row>
    <row r="51" spans="1:8">
      <c r="H51" t="s">
        <v>70</v>
      </c>
    </row>
    <row r="53" spans="1:8">
      <c r="A53" s="19" t="s">
        <v>71</v>
      </c>
    </row>
    <row r="56" spans="1:8">
      <c r="A56" s="19" t="s">
        <v>72</v>
      </c>
    </row>
    <row r="57" spans="1:8">
      <c r="A57" t="s">
        <v>73</v>
      </c>
    </row>
    <row r="58" spans="1:8">
      <c r="A58" t="s">
        <v>74</v>
      </c>
    </row>
  </sheetData>
  <printOptions horizontalCentered="1"/>
  <pageMargins left="0.25" right="0.25" top="1" bottom="1" header="0.5" footer="0.5"/>
  <pageSetup scale="5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78"/>
  <sheetViews>
    <sheetView zoomScale="75" zoomScaleNormal="75" workbookViewId="0">
      <selection activeCell="A45" sqref="A45"/>
    </sheetView>
  </sheetViews>
  <sheetFormatPr defaultRowHeight="15"/>
  <cols>
    <col min="1" max="1" width="5.7109375" style="74" customWidth="1"/>
    <col min="2" max="2" width="9.42578125" style="74" bestFit="1" customWidth="1"/>
    <col min="3" max="3" width="14.5703125" style="74" customWidth="1"/>
    <col min="4" max="4" width="6.42578125" style="74" customWidth="1"/>
    <col min="5" max="5" width="42.5703125" style="74" customWidth="1"/>
    <col min="6" max="6" width="11.85546875" style="74" bestFit="1" customWidth="1"/>
    <col min="7" max="7" width="7.140625" style="90" customWidth="1"/>
    <col min="8" max="8" width="12.5703125" style="74" bestFit="1" customWidth="1"/>
    <col min="9" max="9" width="8.28515625" style="68" customWidth="1"/>
    <col min="10" max="10" width="16.28515625" style="69" bestFit="1" customWidth="1"/>
    <col min="11" max="11" width="13.42578125" style="69" bestFit="1" customWidth="1"/>
    <col min="12" max="12" width="26.5703125" style="74" customWidth="1"/>
    <col min="13" max="13" width="17" style="74" customWidth="1"/>
    <col min="14" max="15" width="13.7109375" style="74" bestFit="1" customWidth="1"/>
    <col min="16" max="16" width="12.28515625" style="74" bestFit="1" customWidth="1"/>
    <col min="17" max="17" width="10.5703125" style="74" customWidth="1"/>
    <col min="18" max="18" width="3.42578125" style="74" customWidth="1"/>
    <col min="19" max="16384" width="9.140625" style="74"/>
  </cols>
  <sheetData>
    <row r="1" spans="1:16" ht="15.75">
      <c r="A1" s="94" t="s">
        <v>129</v>
      </c>
      <c r="B1" s="93"/>
      <c r="C1" s="93"/>
      <c r="D1" s="93"/>
      <c r="E1" s="95"/>
      <c r="F1" s="68"/>
      <c r="H1" s="68"/>
      <c r="I1" s="69"/>
      <c r="L1" s="68"/>
      <c r="M1" s="68"/>
      <c r="N1" s="96"/>
      <c r="P1" s="97" t="s">
        <v>0</v>
      </c>
    </row>
    <row r="2" spans="1:16" ht="15.75">
      <c r="A2" s="98" t="s">
        <v>1</v>
      </c>
      <c r="B2" s="68"/>
      <c r="C2" s="97"/>
      <c r="D2" s="68"/>
      <c r="E2" s="68"/>
      <c r="F2" s="68"/>
      <c r="G2" s="99">
        <v>2009</v>
      </c>
      <c r="H2" s="68"/>
      <c r="I2" s="69"/>
      <c r="K2" s="100"/>
      <c r="L2" s="68"/>
      <c r="M2" s="68"/>
      <c r="N2" s="96"/>
      <c r="O2" s="96"/>
    </row>
    <row r="3" spans="1:16" ht="15.75">
      <c r="A3" s="98" t="s">
        <v>2</v>
      </c>
      <c r="B3" s="68"/>
      <c r="C3" s="97"/>
      <c r="D3" s="68"/>
      <c r="E3" s="68"/>
      <c r="F3" s="68"/>
      <c r="G3" s="101"/>
      <c r="H3" s="68"/>
      <c r="I3" s="69"/>
      <c r="K3" s="100"/>
      <c r="L3" s="68"/>
      <c r="M3" s="68"/>
      <c r="N3" s="96"/>
      <c r="O3" s="96"/>
    </row>
    <row r="4" spans="1:16" ht="15.75">
      <c r="A4" s="98"/>
      <c r="B4" s="68"/>
      <c r="C4" s="97"/>
      <c r="D4" s="68"/>
      <c r="E4" s="68"/>
      <c r="F4" s="68"/>
      <c r="G4" s="101"/>
      <c r="H4" s="68"/>
      <c r="I4" s="69"/>
      <c r="K4" s="100"/>
      <c r="L4" s="68"/>
      <c r="M4" s="68"/>
      <c r="N4" s="96"/>
      <c r="O4" s="96"/>
    </row>
    <row r="5" spans="1:16" ht="15.75">
      <c r="A5" s="98"/>
      <c r="B5" s="72"/>
      <c r="C5" s="72"/>
      <c r="D5" s="72"/>
      <c r="E5" s="72"/>
      <c r="F5" s="102"/>
      <c r="G5" s="101" t="s">
        <v>3</v>
      </c>
      <c r="H5" s="68"/>
      <c r="I5" s="69"/>
      <c r="J5" s="103"/>
      <c r="K5" s="104"/>
      <c r="L5" s="105" t="s">
        <v>4</v>
      </c>
      <c r="M5" s="106"/>
      <c r="N5" s="107" t="s">
        <v>5</v>
      </c>
      <c r="O5" s="107" t="s">
        <v>6</v>
      </c>
    </row>
    <row r="6" spans="1:16" ht="15.75">
      <c r="A6" s="108"/>
      <c r="B6" s="108" t="s">
        <v>7</v>
      </c>
      <c r="C6" s="108"/>
      <c r="D6" s="108" t="s">
        <v>8</v>
      </c>
      <c r="E6" s="108" t="s">
        <v>9</v>
      </c>
      <c r="F6" s="109" t="s">
        <v>10</v>
      </c>
      <c r="G6" s="110" t="s">
        <v>11</v>
      </c>
      <c r="H6" s="111" t="s">
        <v>12</v>
      </c>
      <c r="I6" s="112" t="s">
        <v>11</v>
      </c>
      <c r="J6" s="113" t="s">
        <v>13</v>
      </c>
      <c r="K6" s="112" t="s">
        <v>14</v>
      </c>
      <c r="L6" s="114" t="s">
        <v>15</v>
      </c>
      <c r="M6" s="114" t="s">
        <v>16</v>
      </c>
      <c r="N6" s="115" t="s">
        <v>17</v>
      </c>
      <c r="O6" s="115" t="s">
        <v>18</v>
      </c>
    </row>
    <row r="7" spans="1:16">
      <c r="I7" s="69"/>
      <c r="L7" s="86" t="s">
        <v>75</v>
      </c>
      <c r="N7" s="96"/>
      <c r="O7" s="96"/>
    </row>
    <row r="8" spans="1:16">
      <c r="I8" s="69"/>
      <c r="L8" s="116" t="s">
        <v>20</v>
      </c>
      <c r="N8" s="96"/>
      <c r="O8" s="96"/>
    </row>
    <row r="9" spans="1:16" ht="15.75">
      <c r="A9" s="117" t="s">
        <v>21</v>
      </c>
      <c r="B9" s="117"/>
      <c r="C9" s="117"/>
      <c r="D9" s="118"/>
      <c r="E9" s="118"/>
      <c r="F9" s="119"/>
      <c r="G9" s="120"/>
      <c r="H9" s="119"/>
      <c r="I9" s="121"/>
      <c r="J9" s="121"/>
      <c r="K9" s="121"/>
      <c r="L9" s="116" t="s">
        <v>22</v>
      </c>
      <c r="M9" s="68"/>
      <c r="N9" s="122"/>
      <c r="O9" s="96"/>
    </row>
    <row r="10" spans="1:16">
      <c r="A10" s="72" t="s">
        <v>23</v>
      </c>
      <c r="B10" s="75">
        <v>92081</v>
      </c>
      <c r="C10" s="72" t="s">
        <v>24</v>
      </c>
      <c r="D10" s="75">
        <v>1</v>
      </c>
      <c r="E10" s="72" t="s">
        <v>25</v>
      </c>
      <c r="F10" s="65">
        <v>191</v>
      </c>
      <c r="G10" s="66">
        <v>1.28</v>
      </c>
      <c r="H10" s="67">
        <f t="shared" ref="H10:H18" si="0">+F10*G10</f>
        <v>244.48000000000002</v>
      </c>
      <c r="I10" s="150">
        <v>30.13</v>
      </c>
      <c r="J10" s="69">
        <f t="shared" ref="J10:J18" si="1">H10*I10</f>
        <v>7366.1824000000006</v>
      </c>
      <c r="K10" s="69">
        <f t="shared" ref="K10:K18" si="2">J10/12</f>
        <v>613.84853333333342</v>
      </c>
    </row>
    <row r="11" spans="1:16">
      <c r="A11" s="72" t="s">
        <v>23</v>
      </c>
      <c r="B11" s="75">
        <v>92050</v>
      </c>
      <c r="C11" s="72" t="s">
        <v>26</v>
      </c>
      <c r="D11" s="75">
        <v>4</v>
      </c>
      <c r="E11" s="72" t="s">
        <v>27</v>
      </c>
      <c r="F11" s="65">
        <v>11706</v>
      </c>
      <c r="G11" s="66">
        <v>1.53</v>
      </c>
      <c r="H11" s="67">
        <f t="shared" si="0"/>
        <v>17910.18</v>
      </c>
      <c r="I11" s="150">
        <v>23.65</v>
      </c>
      <c r="J11" s="69">
        <f t="shared" si="1"/>
        <v>423575.75699999998</v>
      </c>
      <c r="K11" s="69">
        <f t="shared" si="2"/>
        <v>35297.979749999999</v>
      </c>
    </row>
    <row r="12" spans="1:16" hidden="1">
      <c r="A12" s="72" t="s">
        <v>23</v>
      </c>
      <c r="B12" s="75">
        <v>92070</v>
      </c>
      <c r="C12" s="72" t="s">
        <v>28</v>
      </c>
      <c r="D12" s="75">
        <v>1</v>
      </c>
      <c r="E12" s="72" t="s">
        <v>25</v>
      </c>
      <c r="F12" s="65">
        <v>0</v>
      </c>
      <c r="G12" s="66">
        <v>1.62</v>
      </c>
      <c r="H12" s="67">
        <f t="shared" si="0"/>
        <v>0</v>
      </c>
      <c r="I12" s="150">
        <v>24.45</v>
      </c>
      <c r="J12" s="69">
        <f t="shared" si="1"/>
        <v>0</v>
      </c>
      <c r="K12" s="69">
        <f t="shared" si="2"/>
        <v>0</v>
      </c>
    </row>
    <row r="13" spans="1:16" hidden="1">
      <c r="A13" s="72" t="s">
        <v>23</v>
      </c>
      <c r="B13" s="75">
        <v>92071</v>
      </c>
      <c r="C13" s="72" t="s">
        <v>29</v>
      </c>
      <c r="D13" s="75">
        <v>1</v>
      </c>
      <c r="E13" s="72" t="s">
        <v>25</v>
      </c>
      <c r="F13" s="65">
        <v>0</v>
      </c>
      <c r="G13" s="66">
        <v>1.1499999999999999</v>
      </c>
      <c r="H13" s="67">
        <f t="shared" si="0"/>
        <v>0</v>
      </c>
      <c r="I13" s="150">
        <v>15.81</v>
      </c>
      <c r="J13" s="69">
        <f t="shared" si="1"/>
        <v>0</v>
      </c>
      <c r="K13" s="69">
        <f t="shared" si="2"/>
        <v>0</v>
      </c>
    </row>
    <row r="14" spans="1:16" hidden="1">
      <c r="A14" s="72" t="s">
        <v>23</v>
      </c>
      <c r="B14" s="75">
        <v>92067</v>
      </c>
      <c r="C14" s="72" t="s">
        <v>30</v>
      </c>
      <c r="D14" s="75">
        <v>1</v>
      </c>
      <c r="E14" s="72" t="s">
        <v>25</v>
      </c>
      <c r="F14" s="65">
        <v>0</v>
      </c>
      <c r="G14" s="66">
        <v>1.76</v>
      </c>
      <c r="H14" s="67">
        <f t="shared" si="0"/>
        <v>0</v>
      </c>
      <c r="I14" s="150">
        <v>38.450000000000003</v>
      </c>
      <c r="J14" s="69">
        <f t="shared" si="1"/>
        <v>0</v>
      </c>
      <c r="K14" s="69">
        <f t="shared" si="2"/>
        <v>0</v>
      </c>
    </row>
    <row r="15" spans="1:16">
      <c r="A15" s="72" t="s">
        <v>23</v>
      </c>
      <c r="B15" s="75">
        <v>92051</v>
      </c>
      <c r="C15" s="72" t="s">
        <v>31</v>
      </c>
      <c r="D15" s="75">
        <v>4</v>
      </c>
      <c r="E15" s="72" t="s">
        <v>25</v>
      </c>
      <c r="F15" s="65">
        <v>510</v>
      </c>
      <c r="G15" s="66">
        <v>1.31</v>
      </c>
      <c r="H15" s="67">
        <f t="shared" si="0"/>
        <v>668.1</v>
      </c>
      <c r="I15" s="150">
        <v>22.69</v>
      </c>
      <c r="J15" s="69">
        <f t="shared" si="1"/>
        <v>15159.189000000002</v>
      </c>
      <c r="K15" s="69">
        <f t="shared" si="2"/>
        <v>1263.2657500000003</v>
      </c>
    </row>
    <row r="16" spans="1:16">
      <c r="A16" s="72" t="s">
        <v>23</v>
      </c>
      <c r="B16" s="75">
        <v>92051</v>
      </c>
      <c r="C16" s="72" t="s">
        <v>31</v>
      </c>
      <c r="D16" s="75" t="s">
        <v>32</v>
      </c>
      <c r="E16" s="72" t="s">
        <v>25</v>
      </c>
      <c r="F16" s="65">
        <v>2160</v>
      </c>
      <c r="G16" s="66">
        <v>1.31</v>
      </c>
      <c r="H16" s="67">
        <f t="shared" si="0"/>
        <v>2829.6</v>
      </c>
      <c r="I16" s="150">
        <v>22.69</v>
      </c>
      <c r="J16" s="69">
        <f t="shared" si="1"/>
        <v>64203.624000000003</v>
      </c>
      <c r="K16" s="69">
        <f t="shared" si="2"/>
        <v>5350.3020000000006</v>
      </c>
    </row>
    <row r="17" spans="1:19">
      <c r="A17" s="72" t="s">
        <v>23</v>
      </c>
      <c r="B17" s="75">
        <v>92077</v>
      </c>
      <c r="C17" s="72" t="s">
        <v>33</v>
      </c>
      <c r="D17" s="75">
        <v>1</v>
      </c>
      <c r="E17" s="72" t="s">
        <v>25</v>
      </c>
      <c r="F17" s="65">
        <v>805</v>
      </c>
      <c r="G17" s="66">
        <v>1.26</v>
      </c>
      <c r="H17" s="67">
        <f t="shared" si="0"/>
        <v>1014.3</v>
      </c>
      <c r="I17" s="150">
        <v>21.13</v>
      </c>
      <c r="J17" s="69">
        <f t="shared" si="1"/>
        <v>21432.159</v>
      </c>
      <c r="K17" s="69">
        <f t="shared" si="2"/>
        <v>1786.01325</v>
      </c>
    </row>
    <row r="18" spans="1:19" hidden="1">
      <c r="A18" s="72" t="s">
        <v>23</v>
      </c>
      <c r="B18" s="75">
        <v>92061</v>
      </c>
      <c r="C18" s="72" t="s">
        <v>34</v>
      </c>
      <c r="D18" s="75">
        <v>1</v>
      </c>
      <c r="E18" s="123" t="s">
        <v>25</v>
      </c>
      <c r="F18" s="65">
        <v>0</v>
      </c>
      <c r="G18" s="66">
        <v>1.3</v>
      </c>
      <c r="H18" s="67">
        <f t="shared" si="0"/>
        <v>0</v>
      </c>
      <c r="I18" s="150">
        <v>22.66</v>
      </c>
      <c r="J18" s="69">
        <f t="shared" si="1"/>
        <v>0</v>
      </c>
      <c r="K18" s="69">
        <f t="shared" si="2"/>
        <v>0</v>
      </c>
    </row>
    <row r="19" spans="1:19">
      <c r="D19" s="75"/>
      <c r="E19" s="123"/>
      <c r="F19" s="70">
        <f>SUM(F10:F18)</f>
        <v>15372</v>
      </c>
      <c r="G19" s="66"/>
      <c r="H19" s="71">
        <f>SUM(H10:H18)</f>
        <v>22666.659999999996</v>
      </c>
      <c r="I19" s="151"/>
      <c r="J19" s="73">
        <v>531725.16</v>
      </c>
      <c r="K19" s="73">
        <f>J19/12+0.02</f>
        <v>44310.45</v>
      </c>
      <c r="L19" s="74" t="s">
        <v>35</v>
      </c>
      <c r="M19" s="78" t="s">
        <v>76</v>
      </c>
    </row>
    <row r="20" spans="1:19">
      <c r="A20" s="72"/>
      <c r="B20" s="75"/>
      <c r="C20" s="72"/>
      <c r="D20" s="75"/>
      <c r="E20" s="72"/>
      <c r="F20" s="65"/>
      <c r="G20" s="66"/>
      <c r="H20" s="124"/>
      <c r="I20" s="152"/>
      <c r="L20" s="85"/>
      <c r="M20" s="85"/>
    </row>
    <row r="21" spans="1:19">
      <c r="A21" s="72" t="s">
        <v>23</v>
      </c>
      <c r="B21" s="75">
        <v>92050</v>
      </c>
      <c r="C21" s="72" t="s">
        <v>26</v>
      </c>
      <c r="D21" s="75">
        <v>4</v>
      </c>
      <c r="E21" s="72" t="s">
        <v>44</v>
      </c>
      <c r="F21" s="65">
        <v>285</v>
      </c>
      <c r="G21" s="66">
        <v>1.53</v>
      </c>
      <c r="H21" s="67">
        <f>+F21*G21</f>
        <v>436.05</v>
      </c>
      <c r="I21" s="150">
        <v>23.65</v>
      </c>
      <c r="J21" s="69">
        <f>+H21*I21</f>
        <v>10312.5825</v>
      </c>
      <c r="K21" s="69">
        <f>(+J21/12)</f>
        <v>859.38187500000004</v>
      </c>
      <c r="L21" s="77" t="s">
        <v>77</v>
      </c>
      <c r="M21" s="78"/>
    </row>
    <row r="22" spans="1:19">
      <c r="A22" s="72" t="s">
        <v>23</v>
      </c>
      <c r="B22" s="75">
        <v>92050</v>
      </c>
      <c r="C22" s="125" t="s">
        <v>26</v>
      </c>
      <c r="D22" s="75">
        <v>5</v>
      </c>
      <c r="E22" s="72" t="s">
        <v>46</v>
      </c>
      <c r="F22" s="65">
        <v>429</v>
      </c>
      <c r="G22" s="66">
        <v>1.53</v>
      </c>
      <c r="H22" s="67">
        <f>+F22*G22</f>
        <v>656.37</v>
      </c>
      <c r="I22" s="150">
        <v>23.65</v>
      </c>
      <c r="J22" s="69">
        <f>+H22*I22</f>
        <v>15523.1505</v>
      </c>
      <c r="K22" s="69">
        <f>+J22/12</f>
        <v>1293.595875</v>
      </c>
      <c r="L22" s="77" t="s">
        <v>78</v>
      </c>
      <c r="M22" s="78"/>
    </row>
    <row r="23" spans="1:19">
      <c r="A23" s="72" t="s">
        <v>23</v>
      </c>
      <c r="B23" s="75">
        <v>92050</v>
      </c>
      <c r="C23" s="72" t="s">
        <v>26</v>
      </c>
      <c r="D23" s="75">
        <v>4</v>
      </c>
      <c r="E23" s="72" t="s">
        <v>48</v>
      </c>
      <c r="F23" s="65">
        <v>660</v>
      </c>
      <c r="G23" s="66">
        <v>1.53</v>
      </c>
      <c r="H23" s="67">
        <f>+F23*G23</f>
        <v>1009.8000000000001</v>
      </c>
      <c r="I23" s="150">
        <v>23.65</v>
      </c>
      <c r="J23" s="69">
        <f>+H23*I23</f>
        <v>23881.77</v>
      </c>
      <c r="K23" s="69">
        <f>(+J23/12)</f>
        <v>1990.1475</v>
      </c>
      <c r="L23" s="77" t="s">
        <v>79</v>
      </c>
      <c r="M23" s="78"/>
    </row>
    <row r="24" spans="1:19">
      <c r="A24" s="72" t="s">
        <v>80</v>
      </c>
      <c r="B24" s="75">
        <v>49263</v>
      </c>
      <c r="C24" s="125" t="s">
        <v>81</v>
      </c>
      <c r="D24" s="75">
        <v>1</v>
      </c>
      <c r="E24" s="125" t="s">
        <v>82</v>
      </c>
      <c r="F24" s="65">
        <v>3550</v>
      </c>
      <c r="G24" s="134" t="s">
        <v>83</v>
      </c>
      <c r="H24" s="67">
        <v>3550</v>
      </c>
      <c r="I24" s="150">
        <v>22.66</v>
      </c>
      <c r="J24" s="69">
        <f>+H24*I24</f>
        <v>80443</v>
      </c>
      <c r="K24" s="69">
        <f>+J24/12</f>
        <v>6703.583333333333</v>
      </c>
      <c r="L24" s="77" t="s">
        <v>84</v>
      </c>
      <c r="M24" s="78"/>
    </row>
    <row r="25" spans="1:19">
      <c r="A25" s="72"/>
      <c r="B25" s="75"/>
      <c r="C25" s="72"/>
      <c r="D25" s="75"/>
      <c r="E25" s="72"/>
      <c r="F25" s="70">
        <f>SUM(F21:F24)</f>
        <v>4924</v>
      </c>
      <c r="G25" s="66"/>
      <c r="H25" s="76">
        <f>SUM(H21:H23)</f>
        <v>2102.2200000000003</v>
      </c>
      <c r="I25" s="150"/>
      <c r="J25" s="73">
        <f>SUM(J21:J24)</f>
        <v>130160.503</v>
      </c>
      <c r="K25" s="73">
        <f>SUM(K21:K24)</f>
        <v>10846.708583333333</v>
      </c>
      <c r="M25" s="78" t="s">
        <v>76</v>
      </c>
    </row>
    <row r="26" spans="1:19">
      <c r="A26" s="72"/>
      <c r="B26" s="75"/>
      <c r="C26" s="72"/>
      <c r="D26" s="75"/>
      <c r="E26" s="72"/>
      <c r="F26" s="135"/>
      <c r="G26" s="66"/>
      <c r="H26" s="135"/>
      <c r="I26" s="150"/>
    </row>
    <row r="27" spans="1:19">
      <c r="A27" s="72" t="s">
        <v>23</v>
      </c>
      <c r="B27" s="75">
        <v>92050</v>
      </c>
      <c r="C27" s="72" t="s">
        <v>26</v>
      </c>
      <c r="D27" s="75">
        <v>5</v>
      </c>
      <c r="E27" s="72" t="s">
        <v>50</v>
      </c>
      <c r="F27" s="70">
        <v>1683</v>
      </c>
      <c r="G27" s="66">
        <v>1.53</v>
      </c>
      <c r="H27" s="76">
        <f>+F27*G27</f>
        <v>2574.9900000000002</v>
      </c>
      <c r="I27" s="151">
        <v>23.65</v>
      </c>
      <c r="J27" s="73">
        <f>+H27*I27</f>
        <v>60898.513500000001</v>
      </c>
      <c r="K27" s="73">
        <f>(+J27/12)</f>
        <v>5074.8761249999998</v>
      </c>
      <c r="L27" s="77" t="s">
        <v>85</v>
      </c>
      <c r="M27" s="78" t="s">
        <v>76</v>
      </c>
      <c r="O27" s="79"/>
    </row>
    <row r="28" spans="1:19">
      <c r="A28" s="72"/>
      <c r="B28" s="75"/>
      <c r="C28" s="72"/>
      <c r="D28" s="75"/>
      <c r="E28" s="72"/>
      <c r="F28" s="65"/>
      <c r="G28" s="66"/>
      <c r="H28" s="65"/>
      <c r="I28" s="150"/>
    </row>
    <row r="29" spans="1:19">
      <c r="A29" s="72" t="s">
        <v>23</v>
      </c>
      <c r="B29" s="75">
        <v>92050</v>
      </c>
      <c r="C29" s="72" t="s">
        <v>86</v>
      </c>
      <c r="D29" s="75">
        <v>4</v>
      </c>
      <c r="E29" s="72" t="s">
        <v>52</v>
      </c>
      <c r="F29" s="80">
        <v>717.5</v>
      </c>
      <c r="G29" s="66">
        <v>1.53</v>
      </c>
      <c r="H29" s="76">
        <f>+F29*G29</f>
        <v>1097.7750000000001</v>
      </c>
      <c r="I29" s="151">
        <v>12.91</v>
      </c>
      <c r="J29" s="73">
        <f>+H29*I29</f>
        <v>14172.275250000001</v>
      </c>
      <c r="K29" s="73">
        <f>(+J29/12)</f>
        <v>1181.0229375000001</v>
      </c>
      <c r="L29" s="77" t="s">
        <v>87</v>
      </c>
      <c r="M29" s="78" t="s">
        <v>76</v>
      </c>
      <c r="O29" s="92"/>
      <c r="P29" s="146"/>
      <c r="Q29" s="92"/>
      <c r="R29" s="93"/>
      <c r="S29" s="93"/>
    </row>
    <row r="30" spans="1:19">
      <c r="A30" s="72"/>
      <c r="B30" s="75"/>
      <c r="C30" s="72"/>
      <c r="D30" s="75"/>
      <c r="E30" s="72"/>
      <c r="F30" s="65"/>
      <c r="G30" s="66"/>
      <c r="H30" s="135"/>
      <c r="I30" s="150"/>
      <c r="O30" s="93"/>
      <c r="P30" s="93"/>
      <c r="Q30" s="93"/>
      <c r="R30" s="93"/>
      <c r="S30" s="93"/>
    </row>
    <row r="31" spans="1:19">
      <c r="A31" s="72" t="s">
        <v>23</v>
      </c>
      <c r="B31" s="75">
        <v>49275</v>
      </c>
      <c r="C31" s="72" t="s">
        <v>88</v>
      </c>
      <c r="D31" s="75">
        <v>1</v>
      </c>
      <c r="E31" s="72" t="s">
        <v>55</v>
      </c>
      <c r="F31" s="65">
        <v>75</v>
      </c>
      <c r="G31" s="66">
        <v>1.74</v>
      </c>
      <c r="H31" s="67">
        <f t="shared" ref="H31:H36" si="3">+F31*G31</f>
        <v>130.5</v>
      </c>
      <c r="I31" s="150">
        <v>27.44</v>
      </c>
      <c r="J31" s="69">
        <f t="shared" ref="J31:J36" si="4">+H31*I31</f>
        <v>3580.92</v>
      </c>
      <c r="K31" s="69">
        <f>+J31/12</f>
        <v>298.41000000000003</v>
      </c>
      <c r="N31" s="81">
        <f t="shared" ref="N31:N36" si="5">+K31*0.06</f>
        <v>17.904600000000002</v>
      </c>
      <c r="O31" s="82">
        <v>0</v>
      </c>
      <c r="P31" s="83">
        <f t="shared" ref="P31:P36" si="6">+K31+N31+O31</f>
        <v>316.31460000000004</v>
      </c>
      <c r="Q31" s="74" t="s">
        <v>89</v>
      </c>
    </row>
    <row r="32" spans="1:19" hidden="1">
      <c r="A32" s="72" t="s">
        <v>23</v>
      </c>
      <c r="B32" s="75">
        <v>92052</v>
      </c>
      <c r="C32" s="72" t="s">
        <v>54</v>
      </c>
      <c r="D32" s="75">
        <v>1</v>
      </c>
      <c r="E32" s="72" t="s">
        <v>55</v>
      </c>
      <c r="F32" s="65">
        <v>0</v>
      </c>
      <c r="G32" s="90">
        <v>1.53</v>
      </c>
      <c r="H32" s="67">
        <f t="shared" si="3"/>
        <v>0</v>
      </c>
      <c r="I32" s="68">
        <v>12.91</v>
      </c>
      <c r="J32" s="69">
        <f t="shared" si="4"/>
        <v>0</v>
      </c>
      <c r="K32" s="69">
        <f>+J32/12</f>
        <v>0</v>
      </c>
      <c r="L32" s="87" t="s">
        <v>56</v>
      </c>
      <c r="M32" s="78"/>
      <c r="N32" s="81">
        <f t="shared" si="5"/>
        <v>0</v>
      </c>
      <c r="O32" s="81">
        <f>+K32*0.015</f>
        <v>0</v>
      </c>
      <c r="P32" s="85">
        <f t="shared" si="6"/>
        <v>0</v>
      </c>
    </row>
    <row r="33" spans="1:17" hidden="1">
      <c r="A33" s="119" t="s">
        <v>23</v>
      </c>
      <c r="B33" s="136">
        <v>92050</v>
      </c>
      <c r="C33" s="119" t="s">
        <v>26</v>
      </c>
      <c r="D33" s="136">
        <v>2</v>
      </c>
      <c r="E33" s="72" t="s">
        <v>57</v>
      </c>
      <c r="F33" s="65">
        <v>0</v>
      </c>
      <c r="G33" s="66"/>
      <c r="H33" s="67">
        <f t="shared" si="3"/>
        <v>0</v>
      </c>
      <c r="I33" s="68">
        <v>23.65</v>
      </c>
      <c r="J33" s="69">
        <f t="shared" si="4"/>
        <v>0</v>
      </c>
      <c r="K33" s="69">
        <f>+J33/12</f>
        <v>0</v>
      </c>
      <c r="L33" s="87" t="str">
        <f>L32</f>
        <v>146-90011</v>
      </c>
      <c r="M33" s="78"/>
      <c r="N33" s="81">
        <f t="shared" si="5"/>
        <v>0</v>
      </c>
      <c r="O33" s="81">
        <f>+K33*0.015</f>
        <v>0</v>
      </c>
      <c r="P33" s="85">
        <f t="shared" si="6"/>
        <v>0</v>
      </c>
    </row>
    <row r="34" spans="1:17" hidden="1">
      <c r="A34" s="72" t="s">
        <v>23</v>
      </c>
      <c r="B34" s="75">
        <v>92085</v>
      </c>
      <c r="C34" s="72" t="s">
        <v>58</v>
      </c>
      <c r="D34" s="75">
        <v>1</v>
      </c>
      <c r="E34" s="72" t="s">
        <v>57</v>
      </c>
      <c r="F34" s="65">
        <v>0</v>
      </c>
      <c r="G34" s="66">
        <v>1.51</v>
      </c>
      <c r="H34" s="67">
        <f t="shared" si="3"/>
        <v>0</v>
      </c>
      <c r="I34" s="68">
        <v>20.51</v>
      </c>
      <c r="J34" s="69">
        <f t="shared" si="4"/>
        <v>0</v>
      </c>
      <c r="L34" s="84" t="str">
        <f>L33</f>
        <v>146-90011</v>
      </c>
      <c r="M34" s="78"/>
      <c r="N34" s="81">
        <f t="shared" si="5"/>
        <v>0</v>
      </c>
      <c r="O34" s="81">
        <f>+K34*0.01</f>
        <v>0</v>
      </c>
      <c r="P34" s="85">
        <f t="shared" si="6"/>
        <v>0</v>
      </c>
      <c r="Q34" s="86" t="s">
        <v>90</v>
      </c>
    </row>
    <row r="35" spans="1:17" ht="17.25" hidden="1" customHeight="1">
      <c r="A35" s="72" t="s">
        <v>23</v>
      </c>
      <c r="B35" s="75">
        <v>92051</v>
      </c>
      <c r="C35" s="72" t="s">
        <v>60</v>
      </c>
      <c r="D35" s="75">
        <v>3</v>
      </c>
      <c r="E35" s="72" t="s">
        <v>57</v>
      </c>
      <c r="F35" s="65">
        <v>0</v>
      </c>
      <c r="G35" s="66">
        <v>1.31</v>
      </c>
      <c r="H35" s="67">
        <f t="shared" si="3"/>
        <v>0</v>
      </c>
      <c r="I35" s="68">
        <v>22.69</v>
      </c>
      <c r="J35" s="69">
        <f t="shared" si="4"/>
        <v>0</v>
      </c>
      <c r="K35" s="69">
        <f>+J35/12</f>
        <v>0</v>
      </c>
      <c r="L35" s="84" t="s">
        <v>56</v>
      </c>
      <c r="M35" s="78"/>
      <c r="N35" s="81">
        <f t="shared" si="5"/>
        <v>0</v>
      </c>
      <c r="O35" s="81">
        <f>+K35*0.015</f>
        <v>0</v>
      </c>
      <c r="P35" s="85">
        <f t="shared" si="6"/>
        <v>0</v>
      </c>
      <c r="Q35" s="86" t="s">
        <v>91</v>
      </c>
    </row>
    <row r="36" spans="1:17" hidden="1">
      <c r="A36" s="72" t="s">
        <v>23</v>
      </c>
      <c r="B36" s="75">
        <v>92076</v>
      </c>
      <c r="C36" s="72" t="s">
        <v>62</v>
      </c>
      <c r="D36" s="75">
        <v>1</v>
      </c>
      <c r="E36" s="72" t="s">
        <v>57</v>
      </c>
      <c r="F36" s="65">
        <v>0</v>
      </c>
      <c r="G36" s="66">
        <v>1.6</v>
      </c>
      <c r="H36" s="67">
        <f t="shared" si="3"/>
        <v>0</v>
      </c>
      <c r="I36" s="68">
        <v>21.13</v>
      </c>
      <c r="J36" s="69">
        <f t="shared" si="4"/>
        <v>0</v>
      </c>
      <c r="K36" s="69">
        <f>+J36/12</f>
        <v>0</v>
      </c>
      <c r="L36" s="87" t="str">
        <f>L35</f>
        <v>146-90011</v>
      </c>
      <c r="M36" s="78"/>
      <c r="N36" s="81">
        <f t="shared" si="5"/>
        <v>0</v>
      </c>
      <c r="O36" s="81">
        <f>+K36*0</f>
        <v>0</v>
      </c>
      <c r="P36" s="85">
        <f t="shared" si="6"/>
        <v>0</v>
      </c>
      <c r="Q36" s="86" t="s">
        <v>92</v>
      </c>
    </row>
    <row r="37" spans="1:17">
      <c r="A37" s="72"/>
      <c r="B37" s="75"/>
      <c r="C37" s="72"/>
      <c r="D37" s="75"/>
      <c r="E37" s="72"/>
      <c r="F37" s="70">
        <f>SUM(F31:F36)</f>
        <v>75</v>
      </c>
      <c r="H37" s="76">
        <f>SUM(H31:H36)</f>
        <v>130.5</v>
      </c>
      <c r="J37" s="73">
        <f>SUM(J31:J36)</f>
        <v>3580.92</v>
      </c>
      <c r="K37" s="73">
        <f>SUM(K31:K36)</f>
        <v>298.41000000000003</v>
      </c>
      <c r="M37" s="78" t="s">
        <v>76</v>
      </c>
      <c r="N37" s="137">
        <f>SUM(N31:N36)</f>
        <v>17.904600000000002</v>
      </c>
      <c r="O37" s="138">
        <f>SUM(O31:O36)</f>
        <v>0</v>
      </c>
      <c r="P37" s="137">
        <f>SUM(P31:P36)</f>
        <v>316.31460000000004</v>
      </c>
      <c r="Q37" s="86" t="s">
        <v>93</v>
      </c>
    </row>
    <row r="38" spans="1:17">
      <c r="A38" s="72"/>
      <c r="B38" s="75"/>
      <c r="C38" s="72"/>
      <c r="D38" s="75"/>
      <c r="E38" s="72"/>
      <c r="F38" s="65"/>
      <c r="H38" s="65"/>
      <c r="J38" s="139"/>
      <c r="K38" s="139"/>
      <c r="N38" s="92"/>
      <c r="O38" s="92"/>
      <c r="P38" s="92"/>
    </row>
    <row r="39" spans="1:17">
      <c r="A39" s="72" t="s">
        <v>23</v>
      </c>
      <c r="B39" s="72" t="s">
        <v>65</v>
      </c>
      <c r="D39" s="75"/>
      <c r="E39" s="72" t="s">
        <v>66</v>
      </c>
      <c r="F39" s="65"/>
      <c r="G39" s="66"/>
      <c r="H39" s="124"/>
      <c r="J39" s="69">
        <f>+K39*12</f>
        <v>2736.96</v>
      </c>
      <c r="K39" s="69">
        <v>228.08</v>
      </c>
      <c r="L39" s="77" t="s">
        <v>94</v>
      </c>
    </row>
    <row r="40" spans="1:17">
      <c r="A40" s="72" t="s">
        <v>23</v>
      </c>
      <c r="B40" s="72" t="s">
        <v>65</v>
      </c>
      <c r="D40" s="75"/>
      <c r="E40" s="72" t="s">
        <v>68</v>
      </c>
      <c r="F40" s="65"/>
      <c r="G40" s="66"/>
      <c r="H40" s="124"/>
      <c r="J40" s="69">
        <f>+K40*12</f>
        <v>304.20000000000005</v>
      </c>
      <c r="K40" s="69">
        <v>25.35</v>
      </c>
      <c r="L40" s="77" t="s">
        <v>95</v>
      </c>
    </row>
    <row r="41" spans="1:17">
      <c r="J41" s="73">
        <f>SUM(J39:J40)</f>
        <v>3041.16</v>
      </c>
      <c r="K41" s="73">
        <f>SUM(K39:K40)</f>
        <v>253.43</v>
      </c>
      <c r="M41" s="77" t="s">
        <v>76</v>
      </c>
    </row>
    <row r="42" spans="1:17" ht="15.75" thickBot="1"/>
    <row r="43" spans="1:17" ht="20.25" thickTop="1" thickBot="1">
      <c r="C43" s="88"/>
      <c r="F43" s="140">
        <f>SUM(F19,F25,F27,F29,F37)</f>
        <v>22771.5</v>
      </c>
      <c r="H43" s="140">
        <f>SUM(H19,H25,H27,H29,H37)</f>
        <v>28572.145</v>
      </c>
      <c r="J43" s="141">
        <f>SUM(J19,J25,J27,J29,J37,J41)</f>
        <v>743578.53175000008</v>
      </c>
      <c r="K43" s="141">
        <f>SUM(K19,K25,K27,K29,K37,K41)+0.01</f>
        <v>61964.907645833337</v>
      </c>
      <c r="N43" s="142">
        <f>+N37</f>
        <v>17.904600000000002</v>
      </c>
      <c r="O43" s="143">
        <f>+O37</f>
        <v>0</v>
      </c>
      <c r="P43" s="89">
        <f>SUM(K43:O43)-0.01</f>
        <v>61982.802245833336</v>
      </c>
    </row>
    <row r="44" spans="1:17" ht="15.75" thickTop="1"/>
    <row r="45" spans="1:17">
      <c r="A45" s="155" t="s">
        <v>134</v>
      </c>
      <c r="E45" s="79"/>
    </row>
    <row r="46" spans="1:17">
      <c r="P46" s="85"/>
    </row>
    <row r="47" spans="1:17" ht="18.75">
      <c r="H47" s="144" t="s">
        <v>96</v>
      </c>
    </row>
    <row r="48" spans="1:17" ht="18.75">
      <c r="H48" s="144"/>
    </row>
    <row r="49" spans="1:1">
      <c r="A49" s="107" t="s">
        <v>97</v>
      </c>
    </row>
    <row r="50" spans="1:1">
      <c r="A50" s="74" t="s">
        <v>98</v>
      </c>
    </row>
    <row r="51" spans="1:1">
      <c r="A51" s="74" t="s">
        <v>99</v>
      </c>
    </row>
    <row r="52" spans="1:1">
      <c r="A52" s="96" t="s">
        <v>100</v>
      </c>
    </row>
    <row r="53" spans="1:1">
      <c r="A53" s="96" t="s">
        <v>101</v>
      </c>
    </row>
    <row r="78" spans="1:1">
      <c r="A78" s="74" t="s">
        <v>102</v>
      </c>
    </row>
  </sheetData>
  <printOptions horizontalCentered="1"/>
  <pageMargins left="0.25" right="0.25" top="1" bottom="1" header="0.5" footer="0.5"/>
  <pageSetup scale="55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79"/>
  <sheetViews>
    <sheetView zoomScale="75" zoomScaleNormal="75" workbookViewId="0">
      <selection activeCell="A48" sqref="A48"/>
    </sheetView>
  </sheetViews>
  <sheetFormatPr defaultRowHeight="15"/>
  <cols>
    <col min="1" max="1" width="5.7109375" style="74" customWidth="1"/>
    <col min="2" max="2" width="9.42578125" style="74" bestFit="1" customWidth="1"/>
    <col min="3" max="3" width="14.5703125" style="74" customWidth="1"/>
    <col min="4" max="4" width="6.42578125" style="74" customWidth="1"/>
    <col min="5" max="5" width="42.5703125" style="74" customWidth="1"/>
    <col min="6" max="6" width="11.85546875" style="74" bestFit="1" customWidth="1"/>
    <col min="7" max="7" width="7.140625" style="90" customWidth="1"/>
    <col min="8" max="8" width="12.5703125" style="74" bestFit="1" customWidth="1"/>
    <col min="9" max="9" width="8.28515625" style="68" customWidth="1"/>
    <col min="10" max="10" width="16.28515625" style="69" bestFit="1" customWidth="1"/>
    <col min="11" max="11" width="14.28515625" style="69" bestFit="1" customWidth="1"/>
    <col min="12" max="12" width="30.42578125" style="74" customWidth="1"/>
    <col min="13" max="13" width="5.7109375" style="74" customWidth="1"/>
    <col min="14" max="14" width="17" style="74" customWidth="1"/>
    <col min="15" max="15" width="5.85546875" style="74" customWidth="1"/>
    <col min="16" max="16" width="4.5703125" style="74" customWidth="1"/>
    <col min="17" max="17" width="13.42578125" style="74" customWidth="1"/>
    <col min="18" max="18" width="10.5703125" style="74" customWidth="1"/>
    <col min="19" max="19" width="3.42578125" style="74" customWidth="1"/>
    <col min="20" max="16384" width="9.140625" style="74"/>
  </cols>
  <sheetData>
    <row r="1" spans="1:17" ht="15.75">
      <c r="A1" s="94" t="s">
        <v>130</v>
      </c>
      <c r="B1" s="93"/>
      <c r="C1" s="93"/>
      <c r="D1" s="93"/>
      <c r="E1" s="95"/>
      <c r="F1" s="68"/>
      <c r="H1" s="68"/>
      <c r="I1" s="69"/>
      <c r="L1" s="68"/>
      <c r="M1" s="68"/>
      <c r="N1" s="68"/>
      <c r="O1" s="96"/>
      <c r="Q1" s="97" t="s">
        <v>0</v>
      </c>
    </row>
    <row r="2" spans="1:17" ht="15.75">
      <c r="A2" s="98" t="s">
        <v>1</v>
      </c>
      <c r="B2" s="68"/>
      <c r="C2" s="97"/>
      <c r="D2" s="68"/>
      <c r="E2" s="68"/>
      <c r="F2" s="68"/>
      <c r="G2" s="99">
        <v>2010</v>
      </c>
      <c r="H2" s="68"/>
      <c r="I2" s="69"/>
      <c r="K2" s="100"/>
      <c r="L2" s="68"/>
      <c r="M2" s="68"/>
      <c r="N2" s="68"/>
      <c r="O2" s="96"/>
      <c r="P2" s="96"/>
    </row>
    <row r="3" spans="1:17" ht="15.75">
      <c r="A3" s="98" t="s">
        <v>2</v>
      </c>
      <c r="B3" s="68"/>
      <c r="C3" s="97"/>
      <c r="D3" s="68"/>
      <c r="E3" s="68"/>
      <c r="F3" s="68"/>
      <c r="G3" s="101"/>
      <c r="H3" s="68"/>
      <c r="I3" s="69"/>
      <c r="K3" s="100"/>
      <c r="L3" s="68"/>
      <c r="M3" s="68"/>
      <c r="N3" s="68"/>
      <c r="O3" s="96"/>
      <c r="P3" s="96"/>
    </row>
    <row r="4" spans="1:17" ht="15.75">
      <c r="A4" s="98"/>
      <c r="B4" s="68"/>
      <c r="C4" s="97"/>
      <c r="D4" s="68"/>
      <c r="E4" s="68"/>
      <c r="F4" s="68"/>
      <c r="G4" s="101"/>
      <c r="H4" s="68"/>
      <c r="I4" s="69"/>
      <c r="K4" s="100"/>
      <c r="L4" s="68"/>
      <c r="M4" s="68"/>
      <c r="N4" s="68"/>
      <c r="O4" s="96"/>
      <c r="P4" s="96"/>
    </row>
    <row r="5" spans="1:17" ht="15.75">
      <c r="A5" s="98"/>
      <c r="B5" s="72"/>
      <c r="C5" s="72"/>
      <c r="D5" s="72"/>
      <c r="E5" s="72"/>
      <c r="F5" s="102"/>
      <c r="G5" s="101" t="s">
        <v>3</v>
      </c>
      <c r="H5" s="68"/>
      <c r="I5" s="69"/>
      <c r="J5" s="103"/>
      <c r="K5" s="104"/>
      <c r="L5" s="105" t="s">
        <v>4</v>
      </c>
      <c r="M5" s="105"/>
      <c r="N5" s="106"/>
      <c r="O5" s="107" t="s">
        <v>5</v>
      </c>
      <c r="P5" s="107" t="s">
        <v>6</v>
      </c>
    </row>
    <row r="6" spans="1:17" ht="15.75">
      <c r="A6" s="108"/>
      <c r="B6" s="108" t="s">
        <v>7</v>
      </c>
      <c r="C6" s="108"/>
      <c r="D6" s="108" t="s">
        <v>8</v>
      </c>
      <c r="E6" s="108" t="s">
        <v>9</v>
      </c>
      <c r="F6" s="109" t="s">
        <v>10</v>
      </c>
      <c r="G6" s="110" t="s">
        <v>11</v>
      </c>
      <c r="H6" s="111" t="s">
        <v>12</v>
      </c>
      <c r="I6" s="112" t="s">
        <v>11</v>
      </c>
      <c r="J6" s="113" t="s">
        <v>13</v>
      </c>
      <c r="K6" s="112" t="s">
        <v>14</v>
      </c>
      <c r="L6" s="114" t="s">
        <v>15</v>
      </c>
      <c r="M6" s="114"/>
      <c r="N6" s="114" t="s">
        <v>16</v>
      </c>
      <c r="O6" s="115" t="s">
        <v>17</v>
      </c>
      <c r="P6" s="115" t="s">
        <v>18</v>
      </c>
    </row>
    <row r="7" spans="1:17">
      <c r="I7" s="69"/>
      <c r="L7" s="86" t="s">
        <v>103</v>
      </c>
      <c r="M7" s="86"/>
      <c r="O7" s="96"/>
      <c r="P7" s="96"/>
    </row>
    <row r="8" spans="1:17">
      <c r="I8" s="69"/>
      <c r="L8" s="116" t="s">
        <v>20</v>
      </c>
      <c r="M8" s="116"/>
      <c r="O8" s="96"/>
      <c r="P8" s="96"/>
    </row>
    <row r="9" spans="1:17" ht="15.75">
      <c r="A9" s="117" t="s">
        <v>21</v>
      </c>
      <c r="B9" s="117"/>
      <c r="C9" s="117"/>
      <c r="D9" s="118"/>
      <c r="E9" s="118"/>
      <c r="F9" s="119"/>
      <c r="G9" s="120"/>
      <c r="H9" s="119"/>
      <c r="I9" s="121"/>
      <c r="J9" s="121"/>
      <c r="K9" s="121"/>
      <c r="L9" s="116" t="s">
        <v>22</v>
      </c>
      <c r="M9" s="116"/>
      <c r="N9" s="68"/>
      <c r="O9" s="122"/>
      <c r="P9" s="96"/>
    </row>
    <row r="10" spans="1:17">
      <c r="A10" s="72" t="s">
        <v>23</v>
      </c>
      <c r="B10" s="75">
        <v>92081</v>
      </c>
      <c r="C10" s="72" t="s">
        <v>24</v>
      </c>
      <c r="D10" s="75">
        <v>1</v>
      </c>
      <c r="E10" s="72" t="s">
        <v>25</v>
      </c>
      <c r="F10" s="65">
        <v>191</v>
      </c>
      <c r="G10" s="66">
        <v>1.28</v>
      </c>
      <c r="H10" s="67">
        <f t="shared" ref="H10:H18" si="0">+F10*G10</f>
        <v>244.48000000000002</v>
      </c>
      <c r="I10" s="150">
        <v>30.13</v>
      </c>
      <c r="J10" s="69">
        <f t="shared" ref="J10:J18" si="1">H10*I10</f>
        <v>7366.1824000000006</v>
      </c>
      <c r="K10" s="69">
        <f t="shared" ref="K10:K18" si="2">J10/12</f>
        <v>613.84853333333342</v>
      </c>
    </row>
    <row r="11" spans="1:17">
      <c r="A11" s="72" t="s">
        <v>23</v>
      </c>
      <c r="B11" s="75">
        <v>92050</v>
      </c>
      <c r="C11" s="72" t="s">
        <v>26</v>
      </c>
      <c r="D11" s="75">
        <v>4</v>
      </c>
      <c r="E11" s="72" t="s">
        <v>27</v>
      </c>
      <c r="F11" s="65">
        <v>11706</v>
      </c>
      <c r="G11" s="66">
        <v>1.53</v>
      </c>
      <c r="H11" s="67">
        <f t="shared" si="0"/>
        <v>17910.18</v>
      </c>
      <c r="I11" s="150">
        <v>23.65</v>
      </c>
      <c r="J11" s="69">
        <f t="shared" si="1"/>
        <v>423575.75699999998</v>
      </c>
      <c r="K11" s="69">
        <f t="shared" si="2"/>
        <v>35297.979749999999</v>
      </c>
    </row>
    <row r="12" spans="1:17" hidden="1">
      <c r="A12" s="72" t="s">
        <v>23</v>
      </c>
      <c r="B12" s="75">
        <v>92070</v>
      </c>
      <c r="C12" s="72" t="s">
        <v>28</v>
      </c>
      <c r="D12" s="75">
        <v>1</v>
      </c>
      <c r="E12" s="72" t="s">
        <v>25</v>
      </c>
      <c r="F12" s="65">
        <v>0</v>
      </c>
      <c r="G12" s="66">
        <v>1.62</v>
      </c>
      <c r="H12" s="67">
        <f t="shared" si="0"/>
        <v>0</v>
      </c>
      <c r="I12" s="150">
        <v>24.45</v>
      </c>
      <c r="J12" s="69">
        <f t="shared" si="1"/>
        <v>0</v>
      </c>
      <c r="K12" s="69">
        <f t="shared" si="2"/>
        <v>0</v>
      </c>
    </row>
    <row r="13" spans="1:17" hidden="1">
      <c r="A13" s="72" t="s">
        <v>23</v>
      </c>
      <c r="B13" s="75">
        <v>92071</v>
      </c>
      <c r="C13" s="72" t="s">
        <v>29</v>
      </c>
      <c r="D13" s="75">
        <v>1</v>
      </c>
      <c r="E13" s="72" t="s">
        <v>25</v>
      </c>
      <c r="F13" s="65">
        <v>0</v>
      </c>
      <c r="G13" s="66">
        <v>1.1499999999999999</v>
      </c>
      <c r="H13" s="67">
        <f t="shared" si="0"/>
        <v>0</v>
      </c>
      <c r="I13" s="150">
        <v>15.81</v>
      </c>
      <c r="J13" s="69">
        <f t="shared" si="1"/>
        <v>0</v>
      </c>
      <c r="K13" s="69">
        <f t="shared" si="2"/>
        <v>0</v>
      </c>
    </row>
    <row r="14" spans="1:17" hidden="1">
      <c r="A14" s="72" t="s">
        <v>23</v>
      </c>
      <c r="B14" s="75">
        <v>92067</v>
      </c>
      <c r="C14" s="72" t="s">
        <v>30</v>
      </c>
      <c r="D14" s="75">
        <v>1</v>
      </c>
      <c r="E14" s="72" t="s">
        <v>25</v>
      </c>
      <c r="F14" s="65">
        <v>0</v>
      </c>
      <c r="G14" s="66">
        <v>1.76</v>
      </c>
      <c r="H14" s="67">
        <f t="shared" si="0"/>
        <v>0</v>
      </c>
      <c r="I14" s="150">
        <v>38.450000000000003</v>
      </c>
      <c r="J14" s="69">
        <f t="shared" si="1"/>
        <v>0</v>
      </c>
      <c r="K14" s="69">
        <f t="shared" si="2"/>
        <v>0</v>
      </c>
    </row>
    <row r="15" spans="1:17">
      <c r="A15" s="72" t="s">
        <v>23</v>
      </c>
      <c r="B15" s="75">
        <v>92051</v>
      </c>
      <c r="C15" s="72" t="s">
        <v>31</v>
      </c>
      <c r="D15" s="75">
        <v>4</v>
      </c>
      <c r="E15" s="72" t="s">
        <v>25</v>
      </c>
      <c r="F15" s="65">
        <v>510</v>
      </c>
      <c r="G15" s="66">
        <v>1.31</v>
      </c>
      <c r="H15" s="67">
        <f t="shared" si="0"/>
        <v>668.1</v>
      </c>
      <c r="I15" s="150">
        <v>22.69</v>
      </c>
      <c r="J15" s="69">
        <f t="shared" si="1"/>
        <v>15159.189000000002</v>
      </c>
      <c r="K15" s="69">
        <f t="shared" si="2"/>
        <v>1263.2657500000003</v>
      </c>
    </row>
    <row r="16" spans="1:17">
      <c r="A16" s="72" t="s">
        <v>23</v>
      </c>
      <c r="B16" s="75">
        <v>92051</v>
      </c>
      <c r="C16" s="72" t="s">
        <v>31</v>
      </c>
      <c r="D16" s="75" t="s">
        <v>32</v>
      </c>
      <c r="E16" s="72" t="s">
        <v>25</v>
      </c>
      <c r="F16" s="65">
        <v>2160</v>
      </c>
      <c r="G16" s="66">
        <v>1.31</v>
      </c>
      <c r="H16" s="67">
        <f t="shared" si="0"/>
        <v>2829.6</v>
      </c>
      <c r="I16" s="150">
        <v>22.69</v>
      </c>
      <c r="J16" s="69">
        <f t="shared" si="1"/>
        <v>64203.624000000003</v>
      </c>
      <c r="K16" s="69">
        <f t="shared" si="2"/>
        <v>5350.3020000000006</v>
      </c>
    </row>
    <row r="17" spans="1:20">
      <c r="A17" s="72" t="s">
        <v>23</v>
      </c>
      <c r="B17" s="75">
        <v>92077</v>
      </c>
      <c r="C17" s="72" t="s">
        <v>33</v>
      </c>
      <c r="D17" s="75">
        <v>1</v>
      </c>
      <c r="E17" s="72" t="s">
        <v>25</v>
      </c>
      <c r="F17" s="65">
        <v>805</v>
      </c>
      <c r="G17" s="66">
        <v>1.26</v>
      </c>
      <c r="H17" s="67">
        <f t="shared" si="0"/>
        <v>1014.3</v>
      </c>
      <c r="I17" s="150">
        <v>21.13</v>
      </c>
      <c r="J17" s="69">
        <f t="shared" si="1"/>
        <v>21432.159</v>
      </c>
      <c r="K17" s="69">
        <f t="shared" si="2"/>
        <v>1786.01325</v>
      </c>
    </row>
    <row r="18" spans="1:20" hidden="1">
      <c r="A18" s="72" t="s">
        <v>23</v>
      </c>
      <c r="B18" s="75">
        <v>92061</v>
      </c>
      <c r="C18" s="72" t="s">
        <v>34</v>
      </c>
      <c r="D18" s="75">
        <v>1</v>
      </c>
      <c r="E18" s="123" t="s">
        <v>25</v>
      </c>
      <c r="F18" s="65">
        <v>0</v>
      </c>
      <c r="G18" s="66">
        <v>1.3</v>
      </c>
      <c r="H18" s="67">
        <f t="shared" si="0"/>
        <v>0</v>
      </c>
      <c r="I18" s="150">
        <v>22.66</v>
      </c>
      <c r="J18" s="69">
        <f t="shared" si="1"/>
        <v>0</v>
      </c>
      <c r="K18" s="69">
        <f t="shared" si="2"/>
        <v>0</v>
      </c>
    </row>
    <row r="19" spans="1:20">
      <c r="D19" s="75"/>
      <c r="E19" s="123"/>
      <c r="F19" s="70">
        <f>SUM(F10:F18)</f>
        <v>15372</v>
      </c>
      <c r="G19" s="66"/>
      <c r="H19" s="71">
        <f>SUM(H10:H18)</f>
        <v>22666.659999999996</v>
      </c>
      <c r="I19" s="151"/>
      <c r="J19" s="73">
        <v>475335.97</v>
      </c>
      <c r="K19" s="73">
        <f>J19/12-0.03+(584.64)</f>
        <v>40195.940833333334</v>
      </c>
      <c r="L19" s="74" t="s">
        <v>35</v>
      </c>
      <c r="N19" s="78" t="s">
        <v>76</v>
      </c>
    </row>
    <row r="20" spans="1:20">
      <c r="A20" s="72"/>
      <c r="B20" s="75"/>
      <c r="C20" s="72"/>
      <c r="D20" s="75"/>
      <c r="E20" s="72"/>
      <c r="F20" s="65"/>
      <c r="G20" s="66"/>
      <c r="H20" s="124"/>
      <c r="I20" s="152"/>
      <c r="L20" s="85"/>
      <c r="M20" s="85"/>
      <c r="N20" s="85"/>
    </row>
    <row r="21" spans="1:20">
      <c r="A21" s="72" t="s">
        <v>23</v>
      </c>
      <c r="B21" s="75">
        <v>92050</v>
      </c>
      <c r="C21" s="72" t="s">
        <v>26</v>
      </c>
      <c r="D21" s="75">
        <v>4</v>
      </c>
      <c r="E21" s="72" t="s">
        <v>44</v>
      </c>
      <c r="F21" s="65">
        <v>577</v>
      </c>
      <c r="G21" s="66">
        <v>1.53</v>
      </c>
      <c r="H21" s="67">
        <f>+F21*G21</f>
        <v>882.81000000000006</v>
      </c>
      <c r="I21" s="150">
        <v>23.65</v>
      </c>
      <c r="J21" s="69">
        <f>+H21*I21</f>
        <v>20878.4565</v>
      </c>
      <c r="K21" s="69">
        <f>(+J21/12)</f>
        <v>1739.8713749999999</v>
      </c>
      <c r="L21" s="77" t="s">
        <v>104</v>
      </c>
      <c r="M21" s="77"/>
      <c r="N21" s="78"/>
      <c r="Q21" s="77" t="s">
        <v>105</v>
      </c>
    </row>
    <row r="22" spans="1:20">
      <c r="A22" s="72" t="s">
        <v>23</v>
      </c>
      <c r="B22" s="75">
        <v>92050</v>
      </c>
      <c r="C22" s="125" t="s">
        <v>26</v>
      </c>
      <c r="D22" s="75">
        <v>5</v>
      </c>
      <c r="E22" s="72" t="s">
        <v>46</v>
      </c>
      <c r="F22" s="65">
        <v>429</v>
      </c>
      <c r="G22" s="66">
        <v>1.53</v>
      </c>
      <c r="H22" s="67">
        <f>+F22*G22</f>
        <v>656.37</v>
      </c>
      <c r="I22" s="150">
        <v>23.65</v>
      </c>
      <c r="J22" s="69">
        <f>+H22*I22</f>
        <v>15523.1505</v>
      </c>
      <c r="K22" s="69">
        <f>+J22/12</f>
        <v>1293.595875</v>
      </c>
      <c r="L22" s="77" t="s">
        <v>106</v>
      </c>
      <c r="M22" s="77"/>
      <c r="N22" s="78"/>
      <c r="Q22" s="74" t="s">
        <v>107</v>
      </c>
    </row>
    <row r="23" spans="1:20" s="133" customFormat="1" hidden="1">
      <c r="A23" s="126" t="s">
        <v>23</v>
      </c>
      <c r="B23" s="127">
        <v>92050</v>
      </c>
      <c r="C23" s="126" t="s">
        <v>26</v>
      </c>
      <c r="D23" s="127">
        <v>4</v>
      </c>
      <c r="E23" s="126" t="s">
        <v>48</v>
      </c>
      <c r="F23" s="128"/>
      <c r="G23" s="129">
        <v>1.53</v>
      </c>
      <c r="H23" s="130">
        <f>+F23*G23</f>
        <v>0</v>
      </c>
      <c r="I23" s="153">
        <v>23.65</v>
      </c>
      <c r="J23" s="131">
        <f>+H23*I23</f>
        <v>0</v>
      </c>
      <c r="K23" s="131">
        <f>(+J23/12)*-10</f>
        <v>0</v>
      </c>
      <c r="L23" s="132" t="s">
        <v>79</v>
      </c>
      <c r="M23" s="132"/>
      <c r="N23" s="132"/>
    </row>
    <row r="24" spans="1:20">
      <c r="A24" s="72" t="s">
        <v>23</v>
      </c>
      <c r="B24" s="75">
        <v>92050</v>
      </c>
      <c r="C24" s="72" t="s">
        <v>26</v>
      </c>
      <c r="D24" s="75">
        <v>4</v>
      </c>
      <c r="E24" s="72" t="s">
        <v>108</v>
      </c>
      <c r="F24" s="65">
        <v>153</v>
      </c>
      <c r="G24" s="66">
        <v>1.53</v>
      </c>
      <c r="H24" s="67">
        <f>+F24*G24</f>
        <v>234.09</v>
      </c>
      <c r="I24" s="150">
        <v>23.65</v>
      </c>
      <c r="J24" s="69">
        <f>+H24*I24</f>
        <v>5536.2285000000002</v>
      </c>
      <c r="K24" s="69">
        <f>(+J24/12)</f>
        <v>461.35237499999999</v>
      </c>
      <c r="L24" s="77" t="s">
        <v>109</v>
      </c>
      <c r="M24" s="91"/>
      <c r="N24" s="78"/>
      <c r="Q24" s="74" t="s">
        <v>110</v>
      </c>
    </row>
    <row r="25" spans="1:20" hidden="1">
      <c r="A25" s="72" t="s">
        <v>80</v>
      </c>
      <c r="B25" s="75">
        <v>49263</v>
      </c>
      <c r="C25" s="125" t="s">
        <v>81</v>
      </c>
      <c r="D25" s="75">
        <v>1</v>
      </c>
      <c r="E25" s="125" t="s">
        <v>82</v>
      </c>
      <c r="F25" s="65">
        <v>0</v>
      </c>
      <c r="G25" s="134" t="s">
        <v>83</v>
      </c>
      <c r="H25" s="67">
        <v>0</v>
      </c>
      <c r="I25" s="150">
        <v>22.66</v>
      </c>
      <c r="J25" s="69">
        <f>+H25*I25</f>
        <v>0</v>
      </c>
      <c r="K25" s="69">
        <f>+J25/12</f>
        <v>0</v>
      </c>
      <c r="L25" s="77" t="s">
        <v>84</v>
      </c>
      <c r="M25" s="77"/>
      <c r="N25" s="78"/>
    </row>
    <row r="26" spans="1:20">
      <c r="A26" s="72"/>
      <c r="B26" s="75"/>
      <c r="C26" s="72"/>
      <c r="D26" s="75"/>
      <c r="E26" s="72"/>
      <c r="F26" s="70">
        <f>SUM(F21:F25)</f>
        <v>1159</v>
      </c>
      <c r="G26" s="66"/>
      <c r="H26" s="76">
        <f>SUM(H21:H23)</f>
        <v>1539.18</v>
      </c>
      <c r="I26" s="150"/>
      <c r="J26" s="73">
        <f>SUM(J21:J25)</f>
        <v>41937.835500000001</v>
      </c>
      <c r="K26" s="73">
        <f>SUM(K21:K25)</f>
        <v>3494.8196249999996</v>
      </c>
      <c r="N26" s="78" t="s">
        <v>76</v>
      </c>
    </row>
    <row r="27" spans="1:20">
      <c r="A27" s="72"/>
      <c r="B27" s="75"/>
      <c r="C27" s="72"/>
      <c r="D27" s="75"/>
      <c r="E27" s="72"/>
      <c r="F27" s="135"/>
      <c r="G27" s="66"/>
      <c r="H27" s="135"/>
      <c r="I27" s="150"/>
    </row>
    <row r="28" spans="1:20">
      <c r="A28" s="72" t="s">
        <v>23</v>
      </c>
      <c r="B28" s="75">
        <v>92050</v>
      </c>
      <c r="C28" s="72" t="s">
        <v>26</v>
      </c>
      <c r="D28" s="75">
        <v>5</v>
      </c>
      <c r="E28" s="72" t="s">
        <v>50</v>
      </c>
      <c r="F28" s="70">
        <v>1683</v>
      </c>
      <c r="G28" s="66">
        <v>1.53</v>
      </c>
      <c r="H28" s="76">
        <f>+F28*G28</f>
        <v>2574.9900000000002</v>
      </c>
      <c r="I28" s="151">
        <v>23.65</v>
      </c>
      <c r="J28" s="73">
        <f>+H28*I28</f>
        <v>60898.513500000001</v>
      </c>
      <c r="K28" s="73">
        <f>(+J28/12)</f>
        <v>5074.8761249999998</v>
      </c>
      <c r="L28" s="77" t="s">
        <v>111</v>
      </c>
      <c r="M28" s="77"/>
      <c r="N28" s="78" t="s">
        <v>76</v>
      </c>
      <c r="P28" s="79"/>
    </row>
    <row r="29" spans="1:20">
      <c r="A29" s="72"/>
      <c r="B29" s="75"/>
      <c r="C29" s="72"/>
      <c r="D29" s="75"/>
      <c r="E29" s="72"/>
      <c r="F29" s="65"/>
      <c r="G29" s="66"/>
      <c r="H29" s="65"/>
      <c r="I29" s="150"/>
    </row>
    <row r="30" spans="1:20">
      <c r="A30" s="72" t="s">
        <v>23</v>
      </c>
      <c r="B30" s="75">
        <v>92050</v>
      </c>
      <c r="C30" s="72" t="s">
        <v>86</v>
      </c>
      <c r="D30" s="75">
        <v>4</v>
      </c>
      <c r="E30" s="72" t="s">
        <v>52</v>
      </c>
      <c r="F30" s="80">
        <v>717.5</v>
      </c>
      <c r="G30" s="66">
        <v>1.53</v>
      </c>
      <c r="H30" s="76">
        <f>+F30*G30</f>
        <v>1097.7750000000001</v>
      </c>
      <c r="I30" s="151">
        <v>12.91</v>
      </c>
      <c r="J30" s="73">
        <f>+H30*I30</f>
        <v>14172.275250000001</v>
      </c>
      <c r="K30" s="73">
        <f>(+J30/12)</f>
        <v>1181.0229375000001</v>
      </c>
      <c r="L30" s="77" t="s">
        <v>112</v>
      </c>
      <c r="M30" s="91"/>
      <c r="N30" s="78" t="s">
        <v>76</v>
      </c>
      <c r="P30" s="92"/>
      <c r="Q30" s="146"/>
      <c r="R30" s="92"/>
      <c r="S30" s="93"/>
      <c r="T30" s="93"/>
    </row>
    <row r="31" spans="1:20">
      <c r="A31" s="72"/>
      <c r="B31" s="75"/>
      <c r="C31" s="72"/>
      <c r="D31" s="75"/>
      <c r="E31" s="72"/>
      <c r="F31" s="65"/>
      <c r="G31" s="66"/>
      <c r="H31" s="135"/>
      <c r="P31" s="93"/>
      <c r="Q31" s="93"/>
      <c r="R31" s="93"/>
      <c r="S31" s="93"/>
      <c r="T31" s="93"/>
    </row>
    <row r="32" spans="1:20" hidden="1">
      <c r="A32" s="72" t="s">
        <v>23</v>
      </c>
      <c r="B32" s="75">
        <v>49275</v>
      </c>
      <c r="C32" s="72" t="s">
        <v>88</v>
      </c>
      <c r="D32" s="75">
        <v>1</v>
      </c>
      <c r="E32" s="72" t="s">
        <v>55</v>
      </c>
      <c r="F32" s="65">
        <v>0</v>
      </c>
      <c r="G32" s="66">
        <v>1.74</v>
      </c>
      <c r="H32" s="67">
        <f t="shared" ref="H32:H37" si="3">+F32*G32</f>
        <v>0</v>
      </c>
      <c r="I32" s="68">
        <v>27.44</v>
      </c>
      <c r="J32" s="69">
        <f t="shared" ref="J32:J37" si="4">+H32*I32</f>
        <v>0</v>
      </c>
      <c r="K32" s="69">
        <f>+J32/12</f>
        <v>0</v>
      </c>
      <c r="O32" s="81">
        <f t="shared" ref="O32:O37" si="5">+K32*0.06</f>
        <v>0</v>
      </c>
      <c r="P32" s="82">
        <v>0</v>
      </c>
      <c r="Q32" s="83">
        <f t="shared" ref="Q32:Q37" si="6">+K32+O32+P32</f>
        <v>0</v>
      </c>
      <c r="R32" s="74" t="s">
        <v>89</v>
      </c>
    </row>
    <row r="33" spans="1:18" hidden="1">
      <c r="A33" s="72" t="s">
        <v>23</v>
      </c>
      <c r="B33" s="75">
        <v>92052</v>
      </c>
      <c r="C33" s="72" t="s">
        <v>54</v>
      </c>
      <c r="D33" s="75">
        <v>1</v>
      </c>
      <c r="E33" s="72" t="s">
        <v>55</v>
      </c>
      <c r="F33" s="65">
        <v>0</v>
      </c>
      <c r="G33" s="90">
        <v>1.53</v>
      </c>
      <c r="H33" s="67">
        <f t="shared" si="3"/>
        <v>0</v>
      </c>
      <c r="I33" s="68">
        <v>12.91</v>
      </c>
      <c r="J33" s="69">
        <f t="shared" si="4"/>
        <v>0</v>
      </c>
      <c r="K33" s="69">
        <f>+J33/12</f>
        <v>0</v>
      </c>
      <c r="L33" s="87" t="s">
        <v>56</v>
      </c>
      <c r="M33" s="87"/>
      <c r="N33" s="78"/>
      <c r="O33" s="81">
        <f t="shared" si="5"/>
        <v>0</v>
      </c>
      <c r="P33" s="81">
        <f>+K33*0.015</f>
        <v>0</v>
      </c>
      <c r="Q33" s="85">
        <f t="shared" si="6"/>
        <v>0</v>
      </c>
    </row>
    <row r="34" spans="1:18" hidden="1">
      <c r="A34" s="119" t="s">
        <v>23</v>
      </c>
      <c r="B34" s="136">
        <v>92050</v>
      </c>
      <c r="C34" s="119" t="s">
        <v>26</v>
      </c>
      <c r="D34" s="136">
        <v>2</v>
      </c>
      <c r="E34" s="72" t="s">
        <v>57</v>
      </c>
      <c r="F34" s="65">
        <v>0</v>
      </c>
      <c r="G34" s="66"/>
      <c r="H34" s="67">
        <f t="shared" si="3"/>
        <v>0</v>
      </c>
      <c r="I34" s="68">
        <v>23.65</v>
      </c>
      <c r="J34" s="69">
        <f t="shared" si="4"/>
        <v>0</v>
      </c>
      <c r="K34" s="69">
        <f>+J34/12</f>
        <v>0</v>
      </c>
      <c r="L34" s="87" t="str">
        <f>L33</f>
        <v>146-90011</v>
      </c>
      <c r="M34" s="87"/>
      <c r="N34" s="78"/>
      <c r="O34" s="81">
        <f t="shared" si="5"/>
        <v>0</v>
      </c>
      <c r="P34" s="81">
        <f>+K34*0.015</f>
        <v>0</v>
      </c>
      <c r="Q34" s="85">
        <f t="shared" si="6"/>
        <v>0</v>
      </c>
    </row>
    <row r="35" spans="1:18" hidden="1">
      <c r="A35" s="72" t="s">
        <v>23</v>
      </c>
      <c r="B35" s="75">
        <v>92085</v>
      </c>
      <c r="C35" s="72" t="s">
        <v>58</v>
      </c>
      <c r="D35" s="75">
        <v>1</v>
      </c>
      <c r="E35" s="72" t="s">
        <v>57</v>
      </c>
      <c r="F35" s="65">
        <v>0</v>
      </c>
      <c r="G35" s="66">
        <v>1.51</v>
      </c>
      <c r="H35" s="67">
        <f t="shared" si="3"/>
        <v>0</v>
      </c>
      <c r="I35" s="68">
        <v>20.51</v>
      </c>
      <c r="J35" s="69">
        <f t="shared" si="4"/>
        <v>0</v>
      </c>
      <c r="L35" s="84" t="str">
        <f>L34</f>
        <v>146-90011</v>
      </c>
      <c r="M35" s="84"/>
      <c r="N35" s="78"/>
      <c r="O35" s="81">
        <f t="shared" si="5"/>
        <v>0</v>
      </c>
      <c r="P35" s="81">
        <f>+K35*0.01</f>
        <v>0</v>
      </c>
      <c r="Q35" s="85">
        <f t="shared" si="6"/>
        <v>0</v>
      </c>
      <c r="R35" s="86" t="s">
        <v>90</v>
      </c>
    </row>
    <row r="36" spans="1:18" ht="17.25" hidden="1" customHeight="1">
      <c r="A36" s="72" t="s">
        <v>23</v>
      </c>
      <c r="B36" s="75">
        <v>92051</v>
      </c>
      <c r="C36" s="72" t="s">
        <v>60</v>
      </c>
      <c r="D36" s="75">
        <v>3</v>
      </c>
      <c r="E36" s="72" t="s">
        <v>57</v>
      </c>
      <c r="F36" s="65">
        <v>0</v>
      </c>
      <c r="G36" s="66">
        <v>1.31</v>
      </c>
      <c r="H36" s="67">
        <f t="shared" si="3"/>
        <v>0</v>
      </c>
      <c r="I36" s="68">
        <v>22.69</v>
      </c>
      <c r="J36" s="69">
        <f t="shared" si="4"/>
        <v>0</v>
      </c>
      <c r="K36" s="69">
        <f>+J36/12</f>
        <v>0</v>
      </c>
      <c r="L36" s="84" t="s">
        <v>56</v>
      </c>
      <c r="M36" s="84"/>
      <c r="N36" s="78"/>
      <c r="O36" s="81">
        <f t="shared" si="5"/>
        <v>0</v>
      </c>
      <c r="P36" s="81">
        <f>+K36*0.015</f>
        <v>0</v>
      </c>
      <c r="Q36" s="85">
        <f t="shared" si="6"/>
        <v>0</v>
      </c>
      <c r="R36" s="86" t="s">
        <v>91</v>
      </c>
    </row>
    <row r="37" spans="1:18" hidden="1">
      <c r="A37" s="72" t="s">
        <v>23</v>
      </c>
      <c r="B37" s="75">
        <v>92076</v>
      </c>
      <c r="C37" s="72" t="s">
        <v>62</v>
      </c>
      <c r="D37" s="75">
        <v>1</v>
      </c>
      <c r="E37" s="72" t="s">
        <v>57</v>
      </c>
      <c r="F37" s="65">
        <v>0</v>
      </c>
      <c r="G37" s="66">
        <v>1.6</v>
      </c>
      <c r="H37" s="67">
        <f t="shared" si="3"/>
        <v>0</v>
      </c>
      <c r="I37" s="68">
        <v>21.13</v>
      </c>
      <c r="J37" s="69">
        <f t="shared" si="4"/>
        <v>0</v>
      </c>
      <c r="K37" s="69">
        <f>+J37/12</f>
        <v>0</v>
      </c>
      <c r="L37" s="87" t="str">
        <f>L36</f>
        <v>146-90011</v>
      </c>
      <c r="M37" s="87"/>
      <c r="N37" s="78"/>
      <c r="O37" s="81">
        <f t="shared" si="5"/>
        <v>0</v>
      </c>
      <c r="P37" s="81">
        <f>+K37*0</f>
        <v>0</v>
      </c>
      <c r="Q37" s="85">
        <f t="shared" si="6"/>
        <v>0</v>
      </c>
      <c r="R37" s="86" t="s">
        <v>92</v>
      </c>
    </row>
    <row r="38" spans="1:18" hidden="1">
      <c r="A38" s="72"/>
      <c r="B38" s="75"/>
      <c r="C38" s="72"/>
      <c r="D38" s="75"/>
      <c r="E38" s="72"/>
      <c r="F38" s="70">
        <f>SUM(F32:F37)</f>
        <v>0</v>
      </c>
      <c r="H38" s="76">
        <f>SUM(H32:H37)</f>
        <v>0</v>
      </c>
      <c r="J38" s="73">
        <f>SUM(J32:J37)</f>
        <v>0</v>
      </c>
      <c r="K38" s="73">
        <f>SUM(K32:K37)</f>
        <v>0</v>
      </c>
      <c r="N38" s="78" t="s">
        <v>76</v>
      </c>
      <c r="O38" s="137">
        <f>SUM(O32:O37)</f>
        <v>0</v>
      </c>
      <c r="P38" s="138">
        <f>SUM(P32:P37)</f>
        <v>0</v>
      </c>
      <c r="Q38" s="137">
        <f>SUM(Q32:Q37)</f>
        <v>0</v>
      </c>
      <c r="R38" s="86" t="s">
        <v>93</v>
      </c>
    </row>
    <row r="39" spans="1:18" hidden="1">
      <c r="A39" s="72"/>
      <c r="B39" s="75"/>
      <c r="C39" s="72"/>
      <c r="D39" s="75"/>
      <c r="E39" s="72"/>
      <c r="F39" s="65"/>
      <c r="H39" s="65"/>
      <c r="J39" s="139"/>
      <c r="K39" s="139"/>
      <c r="O39" s="92"/>
      <c r="P39" s="92"/>
      <c r="Q39" s="92"/>
    </row>
    <row r="40" spans="1:18">
      <c r="A40" s="72" t="s">
        <v>23</v>
      </c>
      <c r="B40" s="72" t="s">
        <v>65</v>
      </c>
      <c r="D40" s="75"/>
      <c r="E40" s="72" t="s">
        <v>66</v>
      </c>
      <c r="F40" s="65"/>
      <c r="G40" s="66"/>
      <c r="H40" s="124"/>
      <c r="J40" s="69">
        <f>+K40*12</f>
        <v>2736.96</v>
      </c>
      <c r="K40" s="69">
        <v>228.08</v>
      </c>
      <c r="L40" s="77" t="s">
        <v>94</v>
      </c>
      <c r="M40" s="77"/>
    </row>
    <row r="41" spans="1:18">
      <c r="A41" s="72" t="s">
        <v>23</v>
      </c>
      <c r="B41" s="72" t="s">
        <v>65</v>
      </c>
      <c r="D41" s="75"/>
      <c r="E41" s="72" t="s">
        <v>68</v>
      </c>
      <c r="F41" s="65"/>
      <c r="G41" s="66"/>
      <c r="H41" s="124"/>
      <c r="J41" s="69">
        <f>+K41*12</f>
        <v>304.20000000000005</v>
      </c>
      <c r="K41" s="69">
        <v>25.35</v>
      </c>
      <c r="L41" s="77" t="s">
        <v>95</v>
      </c>
      <c r="M41" s="77"/>
    </row>
    <row r="42" spans="1:18">
      <c r="J42" s="73">
        <f>SUM(J40:J41)</f>
        <v>3041.16</v>
      </c>
      <c r="K42" s="73">
        <f>SUM(K40:K41)</f>
        <v>253.43</v>
      </c>
      <c r="N42" s="77" t="s">
        <v>76</v>
      </c>
    </row>
    <row r="43" spans="1:18" ht="15.75" thickBot="1"/>
    <row r="44" spans="1:18" ht="20.25" thickTop="1" thickBot="1">
      <c r="C44" s="88"/>
      <c r="F44" s="140">
        <f>SUM(F19,F26,F28,F30,F38)</f>
        <v>18931.5</v>
      </c>
      <c r="H44" s="140">
        <f>SUM(H19,H26,H28,H30,H38)</f>
        <v>27878.605</v>
      </c>
      <c r="J44" s="141">
        <f>SUM(J19,J26,J28,J30,J38,J42)</f>
        <v>595385.75424999988</v>
      </c>
      <c r="K44" s="141">
        <f>SUM(K19,K26,K28,K30,K38,K42)</f>
        <v>50200.089520833331</v>
      </c>
      <c r="O44" s="142">
        <f>+O38</f>
        <v>0</v>
      </c>
      <c r="P44" s="143">
        <f>+P38</f>
        <v>0</v>
      </c>
      <c r="Q44" s="89">
        <f>SUM(K44:P44)-K23</f>
        <v>50200.089520833331</v>
      </c>
    </row>
    <row r="45" spans="1:18" ht="15.75" thickTop="1"/>
    <row r="46" spans="1:18">
      <c r="E46" s="79"/>
    </row>
    <row r="47" spans="1:18">
      <c r="A47" s="155" t="s">
        <v>134</v>
      </c>
      <c r="Q47" s="85"/>
    </row>
    <row r="48" spans="1:18" ht="18.75">
      <c r="H48" s="144" t="s">
        <v>96</v>
      </c>
    </row>
    <row r="49" spans="1:11" s="68" customFormat="1" ht="18.75">
      <c r="A49" s="74"/>
      <c r="B49" s="74"/>
      <c r="C49" s="74"/>
      <c r="D49" s="74"/>
      <c r="E49" s="74"/>
      <c r="F49" s="74"/>
      <c r="G49" s="90"/>
      <c r="H49" s="144"/>
      <c r="J49" s="69"/>
      <c r="K49" s="69"/>
    </row>
    <row r="50" spans="1:11" s="68" customFormat="1">
      <c r="A50" s="107" t="s">
        <v>97</v>
      </c>
      <c r="B50" s="74"/>
      <c r="C50" s="74"/>
      <c r="D50" s="74"/>
      <c r="E50" s="74"/>
      <c r="F50" s="74"/>
      <c r="G50" s="90"/>
      <c r="H50" s="74"/>
      <c r="J50" s="69"/>
      <c r="K50" s="69"/>
    </row>
    <row r="51" spans="1:11" s="68" customFormat="1">
      <c r="A51" s="74" t="s">
        <v>98</v>
      </c>
      <c r="B51" s="74"/>
      <c r="C51" s="74"/>
      <c r="D51" s="74"/>
      <c r="E51" s="74"/>
      <c r="F51" s="74"/>
      <c r="G51" s="90"/>
      <c r="H51" s="74"/>
      <c r="J51" s="69"/>
      <c r="K51" s="69"/>
    </row>
    <row r="52" spans="1:11" s="68" customFormat="1">
      <c r="A52" s="74" t="s">
        <v>99</v>
      </c>
      <c r="B52" s="74"/>
      <c r="C52" s="74"/>
      <c r="D52" s="74"/>
      <c r="E52" s="74"/>
      <c r="F52" s="74"/>
      <c r="G52" s="90"/>
      <c r="H52" s="74"/>
      <c r="J52" s="69"/>
      <c r="K52" s="69"/>
    </row>
    <row r="53" spans="1:11" s="68" customFormat="1">
      <c r="A53" s="96" t="s">
        <v>100</v>
      </c>
      <c r="B53" s="74"/>
      <c r="C53" s="74"/>
      <c r="D53" s="74"/>
      <c r="E53" s="74"/>
      <c r="F53" s="74"/>
      <c r="G53" s="90"/>
      <c r="H53" s="74"/>
      <c r="J53" s="69"/>
      <c r="K53" s="69"/>
    </row>
    <row r="54" spans="1:11" s="68" customFormat="1">
      <c r="A54" s="96" t="s">
        <v>101</v>
      </c>
      <c r="B54" s="74"/>
      <c r="C54" s="74"/>
      <c r="D54" s="74"/>
      <c r="E54" s="74"/>
      <c r="F54" s="74"/>
      <c r="G54" s="90"/>
      <c r="H54" s="74"/>
      <c r="J54" s="69"/>
      <c r="K54" s="69"/>
    </row>
    <row r="57" spans="1:11" s="68" customFormat="1">
      <c r="A57" s="74"/>
      <c r="B57" s="74"/>
      <c r="C57" s="74"/>
      <c r="D57" s="74"/>
      <c r="E57" s="74"/>
      <c r="F57" s="74"/>
      <c r="G57" s="145"/>
      <c r="H57" s="74"/>
      <c r="J57" s="69"/>
      <c r="K57" s="69"/>
    </row>
    <row r="58" spans="1:11" s="68" customFormat="1">
      <c r="A58" s="74"/>
      <c r="B58" s="74"/>
      <c r="C58" s="74"/>
      <c r="D58" s="74"/>
      <c r="E58" s="74"/>
      <c r="F58" s="74"/>
      <c r="G58" s="74"/>
      <c r="H58" s="74"/>
      <c r="J58" s="69"/>
      <c r="K58" s="69"/>
    </row>
    <row r="79" spans="1:1">
      <c r="A79" s="74" t="s">
        <v>102</v>
      </c>
    </row>
  </sheetData>
  <printOptions horizontalCentered="1"/>
  <pageMargins left="0.25" right="0.25" top="1" bottom="1" header="0.5" footer="0.5"/>
  <pageSetup scale="55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81"/>
  <sheetViews>
    <sheetView zoomScale="75" zoomScaleNormal="75" workbookViewId="0">
      <selection activeCell="A48" sqref="A48"/>
    </sheetView>
  </sheetViews>
  <sheetFormatPr defaultRowHeight="15"/>
  <cols>
    <col min="1" max="1" width="5.7109375" style="74" customWidth="1"/>
    <col min="2" max="2" width="9.42578125" style="74" bestFit="1" customWidth="1"/>
    <col min="3" max="3" width="14.5703125" style="74" customWidth="1"/>
    <col min="4" max="4" width="6.42578125" style="74" customWidth="1"/>
    <col min="5" max="5" width="42.5703125" style="74" customWidth="1"/>
    <col min="6" max="6" width="17.42578125" style="74" bestFit="1" customWidth="1"/>
    <col min="7" max="7" width="7.140625" style="90" customWidth="1"/>
    <col min="8" max="8" width="12.5703125" style="74" bestFit="1" customWidth="1"/>
    <col min="9" max="9" width="8.28515625" style="68" customWidth="1"/>
    <col min="10" max="10" width="16.28515625" style="69" bestFit="1" customWidth="1"/>
    <col min="11" max="11" width="14.28515625" style="69" bestFit="1" customWidth="1"/>
    <col min="12" max="12" width="30.42578125" style="74" customWidth="1"/>
    <col min="13" max="13" width="5.7109375" style="74" customWidth="1"/>
    <col min="14" max="14" width="17" style="74" customWidth="1"/>
    <col min="15" max="15" width="5.85546875" style="74" customWidth="1"/>
    <col min="16" max="16" width="4.5703125" style="74" customWidth="1"/>
    <col min="17" max="17" width="13.42578125" style="74" customWidth="1"/>
    <col min="18" max="18" width="10.5703125" style="74" customWidth="1"/>
    <col min="19" max="19" width="3.42578125" style="74" customWidth="1"/>
    <col min="20" max="16384" width="9.140625" style="74"/>
  </cols>
  <sheetData>
    <row r="1" spans="1:17" ht="15.75">
      <c r="A1" s="94" t="s">
        <v>131</v>
      </c>
      <c r="B1" s="93"/>
      <c r="C1" s="93"/>
      <c r="D1" s="93"/>
      <c r="E1" s="95"/>
      <c r="F1" s="68"/>
      <c r="H1" s="68"/>
      <c r="I1" s="69"/>
      <c r="L1" s="68"/>
      <c r="M1" s="68"/>
      <c r="N1" s="68"/>
      <c r="O1" s="96"/>
      <c r="Q1" s="97" t="s">
        <v>113</v>
      </c>
    </row>
    <row r="2" spans="1:17" ht="15.75">
      <c r="A2" s="98" t="s">
        <v>1</v>
      </c>
      <c r="B2" s="68"/>
      <c r="C2" s="97"/>
      <c r="D2" s="68"/>
      <c r="E2" s="68"/>
      <c r="F2" s="68"/>
      <c r="G2" s="99">
        <v>2011</v>
      </c>
      <c r="H2" s="68"/>
      <c r="I2" s="69"/>
      <c r="K2" s="100"/>
      <c r="L2" s="68"/>
      <c r="M2" s="68"/>
      <c r="N2" s="68"/>
      <c r="O2" s="96"/>
      <c r="P2" s="96"/>
    </row>
    <row r="3" spans="1:17" ht="15.75">
      <c r="A3" s="98" t="s">
        <v>2</v>
      </c>
      <c r="B3" s="68"/>
      <c r="C3" s="97"/>
      <c r="D3" s="68"/>
      <c r="E3" s="68"/>
      <c r="F3" s="68"/>
      <c r="G3" s="101"/>
      <c r="H3" s="68"/>
      <c r="I3" s="69"/>
      <c r="K3" s="100"/>
      <c r="L3" s="68"/>
      <c r="M3" s="68"/>
      <c r="N3" s="68"/>
      <c r="O3" s="96"/>
      <c r="P3" s="96"/>
    </row>
    <row r="4" spans="1:17" ht="15.75">
      <c r="A4" s="98"/>
      <c r="B4" s="68"/>
      <c r="C4" s="97"/>
      <c r="D4" s="68"/>
      <c r="E4" s="68"/>
      <c r="F4" s="68"/>
      <c r="G4" s="101"/>
      <c r="H4" s="68"/>
      <c r="I4" s="69"/>
      <c r="K4" s="100"/>
      <c r="L4" s="68"/>
      <c r="M4" s="68"/>
      <c r="N4" s="68"/>
      <c r="O4" s="96"/>
      <c r="P4" s="96"/>
    </row>
    <row r="5" spans="1:17" ht="15.75">
      <c r="A5" s="98"/>
      <c r="B5" s="72"/>
      <c r="C5" s="72"/>
      <c r="D5" s="72"/>
      <c r="E5" s="72"/>
      <c r="F5" s="102"/>
      <c r="G5" s="101" t="s">
        <v>3</v>
      </c>
      <c r="H5" s="68"/>
      <c r="I5" s="69"/>
      <c r="J5" s="103"/>
      <c r="K5" s="104"/>
      <c r="L5" s="105" t="s">
        <v>4</v>
      </c>
      <c r="M5" s="105"/>
      <c r="N5" s="106"/>
      <c r="O5" s="107" t="s">
        <v>5</v>
      </c>
      <c r="P5" s="107" t="s">
        <v>6</v>
      </c>
    </row>
    <row r="6" spans="1:17" ht="15.75">
      <c r="A6" s="108"/>
      <c r="B6" s="108" t="s">
        <v>7</v>
      </c>
      <c r="C6" s="108"/>
      <c r="D6" s="108" t="s">
        <v>8</v>
      </c>
      <c r="E6" s="108" t="s">
        <v>9</v>
      </c>
      <c r="F6" s="109" t="s">
        <v>10</v>
      </c>
      <c r="G6" s="110" t="s">
        <v>11</v>
      </c>
      <c r="H6" s="111" t="s">
        <v>12</v>
      </c>
      <c r="I6" s="112" t="s">
        <v>11</v>
      </c>
      <c r="J6" s="113" t="s">
        <v>13</v>
      </c>
      <c r="K6" s="112" t="s">
        <v>14</v>
      </c>
      <c r="L6" s="114" t="s">
        <v>15</v>
      </c>
      <c r="M6" s="114"/>
      <c r="N6" s="114" t="s">
        <v>16</v>
      </c>
      <c r="O6" s="115" t="s">
        <v>17</v>
      </c>
      <c r="P6" s="115" t="s">
        <v>18</v>
      </c>
    </row>
    <row r="7" spans="1:17">
      <c r="I7" s="69"/>
      <c r="L7" s="86" t="s">
        <v>103</v>
      </c>
      <c r="M7" s="86"/>
      <c r="O7" s="96"/>
      <c r="P7" s="96"/>
    </row>
    <row r="8" spans="1:17">
      <c r="I8" s="69"/>
      <c r="L8" s="116" t="s">
        <v>114</v>
      </c>
      <c r="M8" s="116"/>
      <c r="O8" s="96"/>
      <c r="P8" s="96"/>
    </row>
    <row r="9" spans="1:17" ht="15.75">
      <c r="A9" s="117" t="s">
        <v>21</v>
      </c>
      <c r="B9" s="117"/>
      <c r="C9" s="117"/>
      <c r="D9" s="118"/>
      <c r="E9" s="118"/>
      <c r="F9" s="119"/>
      <c r="G9" s="120"/>
      <c r="H9" s="119"/>
      <c r="I9" s="121"/>
      <c r="J9" s="121"/>
      <c r="K9" s="121"/>
      <c r="L9" s="116"/>
      <c r="M9" s="116"/>
      <c r="N9" s="68"/>
      <c r="O9" s="122"/>
      <c r="P9" s="96"/>
    </row>
    <row r="10" spans="1:17">
      <c r="A10" s="72" t="s">
        <v>23</v>
      </c>
      <c r="B10" s="75">
        <v>92081</v>
      </c>
      <c r="C10" s="72" t="s">
        <v>24</v>
      </c>
      <c r="D10" s="75">
        <v>1</v>
      </c>
      <c r="E10" s="72" t="s">
        <v>25</v>
      </c>
      <c r="F10" s="65">
        <v>191</v>
      </c>
      <c r="G10" s="66">
        <v>1.28</v>
      </c>
      <c r="H10" s="67">
        <f t="shared" ref="H10:H18" si="0">+F10*G10</f>
        <v>244.48000000000002</v>
      </c>
      <c r="I10" s="150">
        <v>27.59</v>
      </c>
      <c r="J10" s="69">
        <f t="shared" ref="J10:J18" si="1">H10*I10</f>
        <v>6745.2032000000008</v>
      </c>
      <c r="K10" s="69">
        <f t="shared" ref="K10:K18" si="2">J10/12</f>
        <v>562.1002666666667</v>
      </c>
      <c r="L10" s="74" t="s">
        <v>115</v>
      </c>
    </row>
    <row r="11" spans="1:17">
      <c r="A11" s="72" t="s">
        <v>23</v>
      </c>
      <c r="B11" s="75">
        <v>92050</v>
      </c>
      <c r="C11" s="72" t="s">
        <v>26</v>
      </c>
      <c r="D11" s="75">
        <v>4</v>
      </c>
      <c r="E11" s="72" t="s">
        <v>27</v>
      </c>
      <c r="F11" s="65">
        <f>11439-194</f>
        <v>11245</v>
      </c>
      <c r="G11" s="66">
        <v>1.53</v>
      </c>
      <c r="H11" s="67">
        <f>+F11*G11</f>
        <v>17204.849999999999</v>
      </c>
      <c r="I11" s="150">
        <v>22.76</v>
      </c>
      <c r="J11" s="69">
        <f t="shared" si="1"/>
        <v>391582.386</v>
      </c>
      <c r="K11" s="69">
        <f>J11/12-0.62</f>
        <v>32631.245500000001</v>
      </c>
      <c r="L11" s="74" t="s">
        <v>115</v>
      </c>
    </row>
    <row r="12" spans="1:17" hidden="1">
      <c r="A12" s="72" t="s">
        <v>23</v>
      </c>
      <c r="B12" s="75">
        <v>92070</v>
      </c>
      <c r="C12" s="72" t="s">
        <v>28</v>
      </c>
      <c r="D12" s="75">
        <v>1</v>
      </c>
      <c r="E12" s="72" t="s">
        <v>25</v>
      </c>
      <c r="F12" s="65">
        <v>0</v>
      </c>
      <c r="G12" s="66">
        <v>1.62</v>
      </c>
      <c r="H12" s="67">
        <f t="shared" si="0"/>
        <v>0</v>
      </c>
      <c r="I12" s="150">
        <v>24.45</v>
      </c>
      <c r="J12" s="69">
        <f t="shared" si="1"/>
        <v>0</v>
      </c>
      <c r="K12" s="69">
        <f t="shared" si="2"/>
        <v>0</v>
      </c>
    </row>
    <row r="13" spans="1:17">
      <c r="A13" s="72" t="s">
        <v>23</v>
      </c>
      <c r="B13" s="75">
        <v>92071</v>
      </c>
      <c r="C13" s="72" t="s">
        <v>29</v>
      </c>
      <c r="D13" s="75">
        <v>1</v>
      </c>
      <c r="E13" s="72" t="s">
        <v>25</v>
      </c>
      <c r="F13" s="65">
        <v>96</v>
      </c>
      <c r="G13" s="66">
        <v>1.1499999999999999</v>
      </c>
      <c r="H13" s="67">
        <f t="shared" si="0"/>
        <v>110.39999999999999</v>
      </c>
      <c r="I13" s="150">
        <v>14.87</v>
      </c>
      <c r="J13" s="69">
        <f t="shared" si="1"/>
        <v>1641.6479999999997</v>
      </c>
      <c r="K13" s="69">
        <f t="shared" si="2"/>
        <v>136.80399999999997</v>
      </c>
      <c r="L13" s="74" t="s">
        <v>115</v>
      </c>
    </row>
    <row r="14" spans="1:17" hidden="1">
      <c r="A14" s="72" t="s">
        <v>23</v>
      </c>
      <c r="B14" s="75">
        <v>92067</v>
      </c>
      <c r="C14" s="72" t="s">
        <v>30</v>
      </c>
      <c r="D14" s="75">
        <v>1</v>
      </c>
      <c r="E14" s="72" t="s">
        <v>25</v>
      </c>
      <c r="F14" s="65">
        <v>0</v>
      </c>
      <c r="G14" s="66">
        <v>1.76</v>
      </c>
      <c r="H14" s="67">
        <f t="shared" si="0"/>
        <v>0</v>
      </c>
      <c r="I14" s="150">
        <v>38.450000000000003</v>
      </c>
      <c r="J14" s="69">
        <f t="shared" si="1"/>
        <v>0</v>
      </c>
      <c r="K14" s="69">
        <f t="shared" si="2"/>
        <v>0</v>
      </c>
    </row>
    <row r="15" spans="1:17" hidden="1">
      <c r="A15" s="72" t="s">
        <v>23</v>
      </c>
      <c r="B15" s="75">
        <v>92051</v>
      </c>
      <c r="C15" s="72" t="s">
        <v>31</v>
      </c>
      <c r="D15" s="75">
        <v>4</v>
      </c>
      <c r="E15" s="72" t="s">
        <v>25</v>
      </c>
      <c r="F15" s="65"/>
      <c r="G15" s="66">
        <v>1.31</v>
      </c>
      <c r="H15" s="67">
        <f t="shared" si="0"/>
        <v>0</v>
      </c>
      <c r="I15" s="150">
        <v>22.69</v>
      </c>
      <c r="J15" s="69">
        <f t="shared" si="1"/>
        <v>0</v>
      </c>
      <c r="K15" s="69">
        <f t="shared" si="2"/>
        <v>0</v>
      </c>
    </row>
    <row r="16" spans="1:17" hidden="1">
      <c r="A16" s="72" t="s">
        <v>23</v>
      </c>
      <c r="B16" s="75">
        <v>92051</v>
      </c>
      <c r="C16" s="72" t="s">
        <v>31</v>
      </c>
      <c r="D16" s="75" t="s">
        <v>32</v>
      </c>
      <c r="E16" s="72" t="s">
        <v>25</v>
      </c>
      <c r="F16" s="65"/>
      <c r="G16" s="66">
        <v>1.31</v>
      </c>
      <c r="H16" s="67">
        <f t="shared" si="0"/>
        <v>0</v>
      </c>
      <c r="I16" s="150">
        <v>22.69</v>
      </c>
      <c r="J16" s="69">
        <f t="shared" si="1"/>
        <v>0</v>
      </c>
      <c r="K16" s="69">
        <f t="shared" si="2"/>
        <v>0</v>
      </c>
    </row>
    <row r="17" spans="1:20">
      <c r="A17" s="72" t="s">
        <v>23</v>
      </c>
      <c r="B17" s="75">
        <v>92077</v>
      </c>
      <c r="C17" s="72" t="s">
        <v>33</v>
      </c>
      <c r="D17" s="75">
        <v>1</v>
      </c>
      <c r="E17" s="72" t="s">
        <v>25</v>
      </c>
      <c r="F17" s="65">
        <v>805</v>
      </c>
      <c r="G17" s="66">
        <v>1.26</v>
      </c>
      <c r="H17" s="67">
        <f t="shared" si="0"/>
        <v>1014.3</v>
      </c>
      <c r="I17" s="150">
        <v>20.61</v>
      </c>
      <c r="J17" s="69">
        <f t="shared" si="1"/>
        <v>20904.722999999998</v>
      </c>
      <c r="K17" s="69">
        <f t="shared" si="2"/>
        <v>1742.0602499999998</v>
      </c>
      <c r="L17" s="74" t="s">
        <v>115</v>
      </c>
    </row>
    <row r="18" spans="1:20">
      <c r="A18" s="72" t="s">
        <v>23</v>
      </c>
      <c r="B18" s="75">
        <v>92061</v>
      </c>
      <c r="C18" s="72" t="s">
        <v>34</v>
      </c>
      <c r="D18" s="75">
        <v>1</v>
      </c>
      <c r="E18" s="123" t="s">
        <v>25</v>
      </c>
      <c r="F18" s="65">
        <v>96</v>
      </c>
      <c r="G18" s="66">
        <v>1.3</v>
      </c>
      <c r="H18" s="67">
        <f t="shared" si="0"/>
        <v>124.80000000000001</v>
      </c>
      <c r="I18" s="150">
        <v>28.54</v>
      </c>
      <c r="J18" s="69">
        <f t="shared" si="1"/>
        <v>3561.7920000000004</v>
      </c>
      <c r="K18" s="69">
        <f t="shared" si="2"/>
        <v>296.81600000000003</v>
      </c>
      <c r="L18" s="74" t="s">
        <v>115</v>
      </c>
    </row>
    <row r="19" spans="1:20">
      <c r="D19" s="75"/>
      <c r="E19" s="123"/>
      <c r="F19" s="70">
        <f>SUM(F10:F18)</f>
        <v>12433</v>
      </c>
      <c r="G19" s="66"/>
      <c r="H19" s="71">
        <f>SUM(H10:H18)</f>
        <v>18698.829999999998</v>
      </c>
      <c r="I19" s="151"/>
      <c r="J19" s="73">
        <f>SUM(J10:J18)</f>
        <v>424435.75219999999</v>
      </c>
      <c r="K19" s="73">
        <f>J19/12-0.62</f>
        <v>35369.026016666663</v>
      </c>
      <c r="N19" s="78" t="s">
        <v>76</v>
      </c>
      <c r="Q19" s="74" t="s">
        <v>116</v>
      </c>
    </row>
    <row r="20" spans="1:20">
      <c r="A20" s="72"/>
      <c r="B20" s="75"/>
      <c r="C20" s="72"/>
      <c r="D20" s="75"/>
      <c r="E20" s="72"/>
      <c r="F20" s="65"/>
      <c r="G20" s="66"/>
      <c r="H20" s="124"/>
      <c r="I20" s="152"/>
      <c r="L20" s="85"/>
      <c r="M20" s="85"/>
      <c r="N20" s="85"/>
    </row>
    <row r="21" spans="1:20">
      <c r="A21" s="72" t="s">
        <v>23</v>
      </c>
      <c r="B21" s="75">
        <v>92050</v>
      </c>
      <c r="C21" s="72" t="s">
        <v>26</v>
      </c>
      <c r="D21" s="75">
        <v>4</v>
      </c>
      <c r="E21" s="72" t="s">
        <v>117</v>
      </c>
      <c r="F21" s="65">
        <f>'[1]Feb2011 IT'!B73</f>
        <v>706.64</v>
      </c>
      <c r="G21" s="66">
        <v>1.53</v>
      </c>
      <c r="H21" s="67">
        <f>F21*G21</f>
        <v>1081.1592000000001</v>
      </c>
      <c r="I21" s="152">
        <v>22.76</v>
      </c>
      <c r="J21" s="73">
        <f>H21*I21</f>
        <v>24607.183392000003</v>
      </c>
      <c r="K21" s="73">
        <f>J21/12</f>
        <v>2050.5986160000002</v>
      </c>
      <c r="L21" s="74" t="s">
        <v>35</v>
      </c>
      <c r="M21" s="85"/>
      <c r="N21" s="85" t="s">
        <v>76</v>
      </c>
      <c r="Q21" s="74" t="s">
        <v>118</v>
      </c>
    </row>
    <row r="22" spans="1:20">
      <c r="A22" s="72"/>
      <c r="B22" s="75"/>
      <c r="C22" s="72"/>
      <c r="D22" s="75"/>
      <c r="E22" s="72"/>
      <c r="F22" s="65"/>
      <c r="G22" s="66"/>
      <c r="H22" s="124"/>
      <c r="I22" s="152"/>
      <c r="L22" s="85"/>
      <c r="M22" s="85"/>
      <c r="N22" s="85"/>
    </row>
    <row r="23" spans="1:20">
      <c r="A23" s="72" t="s">
        <v>23</v>
      </c>
      <c r="B23" s="75">
        <v>92050</v>
      </c>
      <c r="C23" s="72" t="s">
        <v>26</v>
      </c>
      <c r="D23" s="75">
        <v>4</v>
      </c>
      <c r="E23" s="72" t="s">
        <v>44</v>
      </c>
      <c r="F23" s="65">
        <v>577</v>
      </c>
      <c r="G23" s="66">
        <v>1.53</v>
      </c>
      <c r="H23" s="67">
        <f>+F23*G23</f>
        <v>882.81000000000006</v>
      </c>
      <c r="I23" s="150">
        <v>22.76</v>
      </c>
      <c r="J23" s="69">
        <f>+H23*I23</f>
        <v>20092.755600000004</v>
      </c>
      <c r="K23" s="69">
        <f>(+J23/12)</f>
        <v>1674.3963000000003</v>
      </c>
      <c r="L23" s="78" t="s">
        <v>119</v>
      </c>
      <c r="M23" s="77"/>
      <c r="N23" s="78"/>
      <c r="Q23" s="78" t="s">
        <v>120</v>
      </c>
    </row>
    <row r="24" spans="1:20">
      <c r="A24" s="72" t="s">
        <v>23</v>
      </c>
      <c r="B24" s="75">
        <v>92050</v>
      </c>
      <c r="C24" s="125" t="s">
        <v>26</v>
      </c>
      <c r="D24" s="75">
        <v>5</v>
      </c>
      <c r="E24" s="125" t="s">
        <v>121</v>
      </c>
      <c r="F24" s="65">
        <v>429</v>
      </c>
      <c r="G24" s="66">
        <v>1.53</v>
      </c>
      <c r="H24" s="67">
        <f>+F24*G24</f>
        <v>656.37</v>
      </c>
      <c r="I24" s="150">
        <v>22.76</v>
      </c>
      <c r="J24" s="69">
        <f>+H24*I24</f>
        <v>14938.981200000002</v>
      </c>
      <c r="K24" s="69">
        <f>+J24/12</f>
        <v>1244.9151000000002</v>
      </c>
      <c r="L24" s="78" t="s">
        <v>119</v>
      </c>
      <c r="M24" s="77"/>
      <c r="N24" s="78"/>
      <c r="Q24" s="96" t="s">
        <v>122</v>
      </c>
    </row>
    <row r="25" spans="1:20" s="133" customFormat="1" hidden="1">
      <c r="A25" s="126" t="s">
        <v>23</v>
      </c>
      <c r="B25" s="127">
        <v>92050</v>
      </c>
      <c r="C25" s="126" t="s">
        <v>26</v>
      </c>
      <c r="D25" s="127">
        <v>4</v>
      </c>
      <c r="E25" s="126" t="s">
        <v>48</v>
      </c>
      <c r="F25" s="128"/>
      <c r="G25" s="129">
        <v>1.53</v>
      </c>
      <c r="H25" s="130">
        <f>+F25*G25</f>
        <v>0</v>
      </c>
      <c r="I25" s="153">
        <v>23.65</v>
      </c>
      <c r="J25" s="131">
        <f>+H25*I25</f>
        <v>0</v>
      </c>
      <c r="K25" s="131">
        <f>(+J25/12)*-10</f>
        <v>0</v>
      </c>
      <c r="L25" s="132" t="s">
        <v>79</v>
      </c>
      <c r="M25" s="132"/>
      <c r="N25" s="132"/>
    </row>
    <row r="26" spans="1:20">
      <c r="A26" s="72" t="s">
        <v>23</v>
      </c>
      <c r="B26" s="75">
        <v>92050</v>
      </c>
      <c r="C26" s="72" t="s">
        <v>26</v>
      </c>
      <c r="D26" s="75">
        <v>4</v>
      </c>
      <c r="E26" s="72" t="s">
        <v>108</v>
      </c>
      <c r="F26" s="65">
        <v>153</v>
      </c>
      <c r="G26" s="66">
        <v>1.53</v>
      </c>
      <c r="H26" s="67">
        <f>+F26*G26</f>
        <v>234.09</v>
      </c>
      <c r="I26" s="150">
        <v>22.76</v>
      </c>
      <c r="J26" s="69">
        <f>+H26*I26</f>
        <v>5327.8884000000007</v>
      </c>
      <c r="K26" s="69">
        <f>(+J26/12)</f>
        <v>443.99070000000006</v>
      </c>
      <c r="L26" s="78" t="s">
        <v>123</v>
      </c>
      <c r="M26" s="91"/>
      <c r="N26" s="78"/>
      <c r="Q26" s="74" t="s">
        <v>110</v>
      </c>
    </row>
    <row r="27" spans="1:20" hidden="1">
      <c r="A27" s="72" t="s">
        <v>80</v>
      </c>
      <c r="B27" s="75">
        <v>49263</v>
      </c>
      <c r="C27" s="125" t="s">
        <v>81</v>
      </c>
      <c r="D27" s="75">
        <v>1</v>
      </c>
      <c r="E27" s="125" t="s">
        <v>82</v>
      </c>
      <c r="F27" s="65">
        <v>0</v>
      </c>
      <c r="G27" s="134" t="s">
        <v>83</v>
      </c>
      <c r="H27" s="67">
        <v>0</v>
      </c>
      <c r="I27" s="150">
        <v>22.66</v>
      </c>
      <c r="J27" s="69">
        <f>+H27*I27</f>
        <v>0</v>
      </c>
      <c r="K27" s="69">
        <f>+J27/12</f>
        <v>0</v>
      </c>
      <c r="L27" s="77" t="s">
        <v>84</v>
      </c>
      <c r="M27" s="77"/>
      <c r="N27" s="78"/>
    </row>
    <row r="28" spans="1:20">
      <c r="A28" s="72"/>
      <c r="B28" s="75"/>
      <c r="C28" s="72"/>
      <c r="D28" s="75"/>
      <c r="E28" s="72"/>
      <c r="F28" s="70">
        <f>SUM(F23:F27)</f>
        <v>1159</v>
      </c>
      <c r="G28" s="66"/>
      <c r="H28" s="76">
        <f>SUM(H23:H25)</f>
        <v>1539.18</v>
      </c>
      <c r="I28" s="150"/>
      <c r="J28" s="73">
        <f>SUM(J23:J27)</f>
        <v>40359.625200000009</v>
      </c>
      <c r="K28" s="73">
        <f>SUM(K23:K27)+0.01</f>
        <v>3363.312100000001</v>
      </c>
      <c r="N28" s="78" t="s">
        <v>76</v>
      </c>
    </row>
    <row r="29" spans="1:20">
      <c r="A29" s="72"/>
      <c r="B29" s="75"/>
      <c r="C29" s="72"/>
      <c r="D29" s="75"/>
      <c r="E29" s="72"/>
      <c r="F29" s="135"/>
      <c r="G29" s="66"/>
      <c r="H29" s="135"/>
      <c r="I29" s="150"/>
    </row>
    <row r="30" spans="1:20">
      <c r="A30" s="72" t="s">
        <v>23</v>
      </c>
      <c r="B30" s="75">
        <v>92050</v>
      </c>
      <c r="C30" s="72" t="s">
        <v>26</v>
      </c>
      <c r="D30" s="75">
        <v>5</v>
      </c>
      <c r="E30" s="72" t="s">
        <v>50</v>
      </c>
      <c r="F30" s="70">
        <v>1520</v>
      </c>
      <c r="G30" s="66">
        <v>1.53</v>
      </c>
      <c r="H30" s="76">
        <f>+F30*G30</f>
        <v>2325.6</v>
      </c>
      <c r="I30" s="150">
        <v>22.76</v>
      </c>
      <c r="J30" s="73">
        <f>+H30*I30</f>
        <v>52930.656000000003</v>
      </c>
      <c r="K30" s="73">
        <f>(+J30/12)</f>
        <v>4410.8879999999999</v>
      </c>
      <c r="L30" s="78" t="s">
        <v>124</v>
      </c>
      <c r="M30" s="77"/>
      <c r="N30" s="78" t="s">
        <v>76</v>
      </c>
      <c r="P30" s="79"/>
      <c r="Q30" s="74" t="s">
        <v>125</v>
      </c>
    </row>
    <row r="31" spans="1:20">
      <c r="A31" s="72"/>
      <c r="B31" s="75"/>
      <c r="C31" s="72"/>
      <c r="D31" s="75"/>
      <c r="E31" s="72"/>
      <c r="F31" s="65"/>
      <c r="G31" s="66"/>
      <c r="H31" s="65"/>
      <c r="I31" s="150"/>
    </row>
    <row r="32" spans="1:20" ht="24" customHeight="1">
      <c r="A32" s="72" t="s">
        <v>23</v>
      </c>
      <c r="B32" s="75">
        <v>92050</v>
      </c>
      <c r="C32" s="72" t="s">
        <v>86</v>
      </c>
      <c r="D32" s="75">
        <v>4</v>
      </c>
      <c r="E32" s="72" t="s">
        <v>52</v>
      </c>
      <c r="F32" s="70">
        <v>1614</v>
      </c>
      <c r="G32" s="66">
        <v>1.53</v>
      </c>
      <c r="H32" s="76">
        <f>+F32*G32</f>
        <v>2469.42</v>
      </c>
      <c r="I32" s="151">
        <v>14.93</v>
      </c>
      <c r="J32" s="73">
        <f>+H32*I32</f>
        <v>36868.440600000002</v>
      </c>
      <c r="K32" s="73">
        <f>(+J32/12)</f>
        <v>3072.37005</v>
      </c>
      <c r="L32" s="78" t="s">
        <v>126</v>
      </c>
      <c r="M32" s="91"/>
      <c r="N32" s="78" t="s">
        <v>76</v>
      </c>
      <c r="P32" s="92"/>
      <c r="Q32" s="154" t="s">
        <v>127</v>
      </c>
      <c r="R32" s="154"/>
      <c r="S32" s="93"/>
      <c r="T32" s="93"/>
    </row>
    <row r="33" spans="1:20">
      <c r="A33" s="72"/>
      <c r="B33" s="75"/>
      <c r="C33" s="72"/>
      <c r="D33" s="75"/>
      <c r="E33" s="72"/>
      <c r="F33" s="65"/>
      <c r="G33" s="66"/>
      <c r="H33" s="135"/>
      <c r="P33" s="93"/>
      <c r="Q33" s="154"/>
      <c r="R33" s="154"/>
      <c r="S33" s="93"/>
      <c r="T33" s="93"/>
    </row>
    <row r="34" spans="1:20" hidden="1">
      <c r="A34" s="72" t="s">
        <v>23</v>
      </c>
      <c r="B34" s="75">
        <v>49275</v>
      </c>
      <c r="C34" s="72" t="s">
        <v>88</v>
      </c>
      <c r="D34" s="75">
        <v>1</v>
      </c>
      <c r="E34" s="72" t="s">
        <v>55</v>
      </c>
      <c r="F34" s="65">
        <v>0</v>
      </c>
      <c r="G34" s="66">
        <v>1.74</v>
      </c>
      <c r="H34" s="67">
        <f t="shared" ref="H34:H39" si="3">+F34*G34</f>
        <v>0</v>
      </c>
      <c r="I34" s="68">
        <v>27.44</v>
      </c>
      <c r="J34" s="69">
        <f t="shared" ref="J34:J39" si="4">+H34*I34</f>
        <v>0</v>
      </c>
      <c r="K34" s="69">
        <f>+J34/12</f>
        <v>0</v>
      </c>
      <c r="O34" s="81">
        <f t="shared" ref="O34:O39" si="5">+K34*0.06</f>
        <v>0</v>
      </c>
      <c r="P34" s="82">
        <v>0</v>
      </c>
      <c r="Q34" s="83">
        <f t="shared" ref="Q34:Q39" si="6">+K34+O34+P34</f>
        <v>0</v>
      </c>
      <c r="R34" s="74" t="s">
        <v>89</v>
      </c>
    </row>
    <row r="35" spans="1:20" hidden="1">
      <c r="A35" s="72" t="s">
        <v>23</v>
      </c>
      <c r="B35" s="75">
        <v>92052</v>
      </c>
      <c r="C35" s="72" t="s">
        <v>54</v>
      </c>
      <c r="D35" s="75">
        <v>1</v>
      </c>
      <c r="E35" s="72" t="s">
        <v>55</v>
      </c>
      <c r="F35" s="65">
        <v>0</v>
      </c>
      <c r="G35" s="90">
        <v>1.53</v>
      </c>
      <c r="H35" s="67">
        <f t="shared" si="3"/>
        <v>0</v>
      </c>
      <c r="I35" s="68">
        <v>12.91</v>
      </c>
      <c r="J35" s="69">
        <f t="shared" si="4"/>
        <v>0</v>
      </c>
      <c r="K35" s="69">
        <f>+J35/12</f>
        <v>0</v>
      </c>
      <c r="L35" s="87" t="s">
        <v>56</v>
      </c>
      <c r="M35" s="87"/>
      <c r="N35" s="78"/>
      <c r="O35" s="81">
        <f t="shared" si="5"/>
        <v>0</v>
      </c>
      <c r="P35" s="81">
        <f>+K35*0.015</f>
        <v>0</v>
      </c>
      <c r="Q35" s="85">
        <f t="shared" si="6"/>
        <v>0</v>
      </c>
    </row>
    <row r="36" spans="1:20" hidden="1">
      <c r="A36" s="119" t="s">
        <v>23</v>
      </c>
      <c r="B36" s="136">
        <v>92050</v>
      </c>
      <c r="C36" s="119" t="s">
        <v>26</v>
      </c>
      <c r="D36" s="136">
        <v>2</v>
      </c>
      <c r="E36" s="72" t="s">
        <v>57</v>
      </c>
      <c r="F36" s="65">
        <v>0</v>
      </c>
      <c r="G36" s="66"/>
      <c r="H36" s="67">
        <f t="shared" si="3"/>
        <v>0</v>
      </c>
      <c r="I36" s="68">
        <v>23.65</v>
      </c>
      <c r="J36" s="69">
        <f t="shared" si="4"/>
        <v>0</v>
      </c>
      <c r="K36" s="69">
        <f>+J36/12</f>
        <v>0</v>
      </c>
      <c r="L36" s="87" t="str">
        <f>L35</f>
        <v>146-90011</v>
      </c>
      <c r="M36" s="87"/>
      <c r="N36" s="78"/>
      <c r="O36" s="81">
        <f t="shared" si="5"/>
        <v>0</v>
      </c>
      <c r="P36" s="81">
        <f>+K36*0.015</f>
        <v>0</v>
      </c>
      <c r="Q36" s="85">
        <f t="shared" si="6"/>
        <v>0</v>
      </c>
    </row>
    <row r="37" spans="1:20" hidden="1">
      <c r="A37" s="72" t="s">
        <v>23</v>
      </c>
      <c r="B37" s="75">
        <v>92085</v>
      </c>
      <c r="C37" s="72" t="s">
        <v>58</v>
      </c>
      <c r="D37" s="75">
        <v>1</v>
      </c>
      <c r="E37" s="72" t="s">
        <v>57</v>
      </c>
      <c r="F37" s="65">
        <v>0</v>
      </c>
      <c r="G37" s="66">
        <v>1.51</v>
      </c>
      <c r="H37" s="67">
        <f t="shared" si="3"/>
        <v>0</v>
      </c>
      <c r="I37" s="68">
        <v>20.51</v>
      </c>
      <c r="J37" s="69">
        <f t="shared" si="4"/>
        <v>0</v>
      </c>
      <c r="L37" s="84" t="str">
        <f>L36</f>
        <v>146-90011</v>
      </c>
      <c r="M37" s="84"/>
      <c r="N37" s="78"/>
      <c r="O37" s="81">
        <f t="shared" si="5"/>
        <v>0</v>
      </c>
      <c r="P37" s="81">
        <f>+K37*0.01</f>
        <v>0</v>
      </c>
      <c r="Q37" s="85">
        <f t="shared" si="6"/>
        <v>0</v>
      </c>
      <c r="R37" s="86" t="s">
        <v>90</v>
      </c>
    </row>
    <row r="38" spans="1:20" ht="17.25" hidden="1" customHeight="1">
      <c r="A38" s="72" t="s">
        <v>23</v>
      </c>
      <c r="B38" s="75">
        <v>92051</v>
      </c>
      <c r="C38" s="72" t="s">
        <v>60</v>
      </c>
      <c r="D38" s="75">
        <v>3</v>
      </c>
      <c r="E38" s="72" t="s">
        <v>57</v>
      </c>
      <c r="F38" s="65">
        <v>0</v>
      </c>
      <c r="G38" s="66">
        <v>1.31</v>
      </c>
      <c r="H38" s="67">
        <f t="shared" si="3"/>
        <v>0</v>
      </c>
      <c r="I38" s="68">
        <v>22.69</v>
      </c>
      <c r="J38" s="69">
        <f t="shared" si="4"/>
        <v>0</v>
      </c>
      <c r="K38" s="69">
        <f>+J38/12</f>
        <v>0</v>
      </c>
      <c r="L38" s="84" t="s">
        <v>56</v>
      </c>
      <c r="M38" s="84"/>
      <c r="N38" s="78"/>
      <c r="O38" s="81">
        <f t="shared" si="5"/>
        <v>0</v>
      </c>
      <c r="P38" s="81">
        <f>+K38*0.015</f>
        <v>0</v>
      </c>
      <c r="Q38" s="85">
        <f t="shared" si="6"/>
        <v>0</v>
      </c>
      <c r="R38" s="86" t="s">
        <v>91</v>
      </c>
    </row>
    <row r="39" spans="1:20" hidden="1">
      <c r="A39" s="72" t="s">
        <v>23</v>
      </c>
      <c r="B39" s="75">
        <v>92076</v>
      </c>
      <c r="C39" s="72" t="s">
        <v>62</v>
      </c>
      <c r="D39" s="75">
        <v>1</v>
      </c>
      <c r="E39" s="72" t="s">
        <v>57</v>
      </c>
      <c r="F39" s="65">
        <v>0</v>
      </c>
      <c r="G39" s="66">
        <v>1.6</v>
      </c>
      <c r="H39" s="67">
        <f t="shared" si="3"/>
        <v>0</v>
      </c>
      <c r="I39" s="68">
        <v>21.13</v>
      </c>
      <c r="J39" s="69">
        <f t="shared" si="4"/>
        <v>0</v>
      </c>
      <c r="K39" s="69">
        <f>+J39/12</f>
        <v>0</v>
      </c>
      <c r="L39" s="87" t="str">
        <f>L38</f>
        <v>146-90011</v>
      </c>
      <c r="M39" s="87"/>
      <c r="N39" s="78"/>
      <c r="O39" s="81">
        <f t="shared" si="5"/>
        <v>0</v>
      </c>
      <c r="P39" s="81">
        <f>+K39*0</f>
        <v>0</v>
      </c>
      <c r="Q39" s="85">
        <f t="shared" si="6"/>
        <v>0</v>
      </c>
      <c r="R39" s="86" t="s">
        <v>92</v>
      </c>
    </row>
    <row r="40" spans="1:20" hidden="1">
      <c r="A40" s="72"/>
      <c r="B40" s="75"/>
      <c r="C40" s="72"/>
      <c r="D40" s="75"/>
      <c r="E40" s="72"/>
      <c r="F40" s="70">
        <f>SUM(F34:F39)</f>
        <v>0</v>
      </c>
      <c r="H40" s="76">
        <f>SUM(H34:H39)</f>
        <v>0</v>
      </c>
      <c r="J40" s="73">
        <f>SUM(J34:J39)</f>
        <v>0</v>
      </c>
      <c r="K40" s="73">
        <f>SUM(K34:K39)</f>
        <v>0</v>
      </c>
      <c r="N40" s="78" t="s">
        <v>76</v>
      </c>
      <c r="O40" s="137">
        <f>SUM(O34:O39)</f>
        <v>0</v>
      </c>
      <c r="P40" s="138">
        <f>SUM(P34:P39)</f>
        <v>0</v>
      </c>
      <c r="Q40" s="137">
        <f>SUM(Q34:Q39)</f>
        <v>0</v>
      </c>
      <c r="R40" s="86" t="s">
        <v>93</v>
      </c>
    </row>
    <row r="41" spans="1:20" hidden="1">
      <c r="A41" s="72"/>
      <c r="B41" s="75"/>
      <c r="C41" s="72"/>
      <c r="D41" s="75"/>
      <c r="E41" s="72"/>
      <c r="F41" s="65"/>
      <c r="H41" s="65"/>
      <c r="J41" s="139"/>
      <c r="K41" s="139"/>
      <c r="O41" s="92"/>
      <c r="P41" s="92"/>
      <c r="Q41" s="92"/>
    </row>
    <row r="42" spans="1:20">
      <c r="A42" s="72" t="s">
        <v>23</v>
      </c>
      <c r="B42" s="72" t="s">
        <v>65</v>
      </c>
      <c r="D42" s="75"/>
      <c r="E42" s="72" t="s">
        <v>66</v>
      </c>
      <c r="F42" s="65"/>
      <c r="G42" s="66"/>
      <c r="H42" s="124"/>
      <c r="J42" s="69">
        <f>+K42*12</f>
        <v>2736.96</v>
      </c>
      <c r="K42" s="69">
        <v>228.08</v>
      </c>
      <c r="L42" s="77" t="s">
        <v>94</v>
      </c>
      <c r="M42" s="77"/>
    </row>
    <row r="43" spans="1:20">
      <c r="A43" s="72" t="s">
        <v>23</v>
      </c>
      <c r="B43" s="72" t="s">
        <v>65</v>
      </c>
      <c r="D43" s="75"/>
      <c r="E43" s="72" t="s">
        <v>68</v>
      </c>
      <c r="F43" s="65"/>
      <c r="G43" s="66"/>
      <c r="H43" s="124"/>
      <c r="J43" s="69">
        <f>+K43*12</f>
        <v>304.20000000000005</v>
      </c>
      <c r="K43" s="69">
        <v>25.35</v>
      </c>
      <c r="L43" s="77" t="s">
        <v>95</v>
      </c>
      <c r="M43" s="77"/>
    </row>
    <row r="44" spans="1:20">
      <c r="J44" s="73">
        <f>SUM(J42:J43)</f>
        <v>3041.16</v>
      </c>
      <c r="K44" s="73">
        <f>SUM(K42:K43)</f>
        <v>253.43</v>
      </c>
      <c r="N44" s="77" t="s">
        <v>76</v>
      </c>
    </row>
    <row r="45" spans="1:20" ht="15.75" thickBot="1"/>
    <row r="46" spans="1:20" ht="20.25" thickTop="1" thickBot="1">
      <c r="C46" s="88"/>
      <c r="F46" s="140">
        <f>SUM(F19,F21,F28,F30,F32,F40)</f>
        <v>17432.64</v>
      </c>
      <c r="H46" s="140">
        <f>SUM(H19,H21,H28,H30,H32,H40)</f>
        <v>26114.189199999993</v>
      </c>
      <c r="J46" s="141">
        <f>SUM(J19,J21,J28,J30,J32,J40,J44)</f>
        <v>582242.817392</v>
      </c>
      <c r="K46" s="141">
        <f>SUM(K19,K21,K28,K30,K32,K40,K44)+0.01</f>
        <v>48519.634782666668</v>
      </c>
      <c r="O46" s="142">
        <f>+O40</f>
        <v>0</v>
      </c>
      <c r="P46" s="143">
        <f>+P40</f>
        <v>0</v>
      </c>
      <c r="Q46" s="89">
        <f>SUM(K46:P46)-K25</f>
        <v>48519.634782666668</v>
      </c>
    </row>
    <row r="47" spans="1:20" ht="15.75" thickTop="1"/>
    <row r="48" spans="1:20">
      <c r="A48" s="155" t="s">
        <v>133</v>
      </c>
      <c r="E48" s="79"/>
    </row>
    <row r="49" spans="1:17">
      <c r="Q49" s="85"/>
    </row>
    <row r="50" spans="1:17" ht="18.75">
      <c r="H50" s="144" t="s">
        <v>96</v>
      </c>
    </row>
    <row r="51" spans="1:17" ht="18.75">
      <c r="H51" s="144"/>
    </row>
    <row r="52" spans="1:17">
      <c r="A52" s="107" t="s">
        <v>97</v>
      </c>
    </row>
    <row r="53" spans="1:17">
      <c r="A53" s="74" t="s">
        <v>98</v>
      </c>
    </row>
    <row r="54" spans="1:17">
      <c r="A54" s="74" t="s">
        <v>99</v>
      </c>
    </row>
    <row r="55" spans="1:17">
      <c r="A55" s="96" t="s">
        <v>100</v>
      </c>
    </row>
    <row r="56" spans="1:17">
      <c r="A56" s="96" t="s">
        <v>101</v>
      </c>
    </row>
    <row r="59" spans="1:17">
      <c r="G59" s="145"/>
    </row>
    <row r="60" spans="1:17">
      <c r="G60" s="74"/>
    </row>
    <row r="81" spans="1:1">
      <c r="A81" s="74" t="s">
        <v>102</v>
      </c>
    </row>
  </sheetData>
  <mergeCells count="1">
    <mergeCell ref="Q32:R33"/>
  </mergeCells>
  <printOptions horizontalCentered="1"/>
  <pageMargins left="0.25" right="0.25" top="1" bottom="1" header="0.5" footer="0.5"/>
  <pageSetup scale="54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81"/>
  <sheetViews>
    <sheetView zoomScale="75" zoomScaleNormal="75" workbookViewId="0">
      <selection activeCell="A48" sqref="A48"/>
    </sheetView>
  </sheetViews>
  <sheetFormatPr defaultRowHeight="15"/>
  <cols>
    <col min="1" max="1" width="5.7109375" style="74" customWidth="1"/>
    <col min="2" max="2" width="9.42578125" style="74" bestFit="1" customWidth="1"/>
    <col min="3" max="3" width="14.5703125" style="74" customWidth="1"/>
    <col min="4" max="4" width="6.42578125" style="74" customWidth="1"/>
    <col min="5" max="5" width="42.5703125" style="74" customWidth="1"/>
    <col min="6" max="6" width="17.42578125" style="74" bestFit="1" customWidth="1"/>
    <col min="7" max="7" width="7.140625" style="90" customWidth="1"/>
    <col min="8" max="8" width="12.5703125" style="74" bestFit="1" customWidth="1"/>
    <col min="9" max="9" width="8.28515625" style="68" customWidth="1"/>
    <col min="10" max="10" width="16.28515625" style="69" bestFit="1" customWidth="1"/>
    <col min="11" max="11" width="14.28515625" style="69" bestFit="1" customWidth="1"/>
    <col min="12" max="12" width="30.42578125" style="74" customWidth="1"/>
    <col min="13" max="13" width="5.7109375" style="74" customWidth="1"/>
    <col min="14" max="14" width="17" style="74" customWidth="1"/>
    <col min="15" max="15" width="5.85546875" style="74" customWidth="1"/>
    <col min="16" max="16" width="4.5703125" style="74" customWidth="1"/>
    <col min="17" max="17" width="13.42578125" style="74" customWidth="1"/>
    <col min="18" max="18" width="10.5703125" style="74" customWidth="1"/>
    <col min="19" max="19" width="3.42578125" style="74" customWidth="1"/>
    <col min="20" max="16384" width="9.140625" style="74"/>
  </cols>
  <sheetData>
    <row r="1" spans="1:17" ht="15.75">
      <c r="A1" s="94" t="s">
        <v>132</v>
      </c>
      <c r="B1" s="93"/>
      <c r="C1" s="93"/>
      <c r="D1" s="93"/>
      <c r="E1" s="95"/>
      <c r="F1" s="68"/>
      <c r="H1" s="68"/>
      <c r="I1" s="69"/>
      <c r="L1" s="68"/>
      <c r="M1" s="68"/>
      <c r="N1" s="68"/>
      <c r="O1" s="96"/>
      <c r="Q1" s="97" t="s">
        <v>113</v>
      </c>
    </row>
    <row r="2" spans="1:17" ht="15.75">
      <c r="A2" s="98"/>
      <c r="B2" s="68"/>
      <c r="C2" s="97"/>
      <c r="D2" s="68"/>
      <c r="E2" s="68"/>
      <c r="F2" s="68"/>
      <c r="G2" s="99">
        <v>2012</v>
      </c>
      <c r="H2" s="68"/>
      <c r="I2" s="69"/>
      <c r="K2" s="100"/>
      <c r="L2" s="68"/>
      <c r="M2" s="68"/>
      <c r="N2" s="68"/>
      <c r="O2" s="96"/>
      <c r="P2" s="96"/>
    </row>
    <row r="3" spans="1:17" ht="15.75">
      <c r="A3" s="98" t="s">
        <v>2</v>
      </c>
      <c r="B3" s="68"/>
      <c r="C3" s="97"/>
      <c r="D3" s="68"/>
      <c r="E3" s="68"/>
      <c r="F3" s="68"/>
      <c r="G3" s="101"/>
      <c r="H3" s="68"/>
      <c r="I3" s="69"/>
      <c r="K3" s="100"/>
      <c r="L3" s="68"/>
      <c r="M3" s="68"/>
      <c r="N3" s="68"/>
      <c r="O3" s="96"/>
      <c r="P3" s="96"/>
    </row>
    <row r="4" spans="1:17" ht="15.75">
      <c r="A4" s="98"/>
      <c r="B4" s="68"/>
      <c r="C4" s="97"/>
      <c r="D4" s="68"/>
      <c r="E4" s="68"/>
      <c r="F4" s="68"/>
      <c r="G4" s="101"/>
      <c r="H4" s="68"/>
      <c r="I4" s="69"/>
      <c r="K4" s="100"/>
      <c r="L4" s="68"/>
      <c r="M4" s="68"/>
      <c r="N4" s="68"/>
      <c r="O4" s="96"/>
      <c r="P4" s="96"/>
    </row>
    <row r="5" spans="1:17" ht="15.75">
      <c r="A5" s="98"/>
      <c r="B5" s="72"/>
      <c r="C5" s="72"/>
      <c r="D5" s="72"/>
      <c r="E5" s="72"/>
      <c r="F5" s="102"/>
      <c r="G5" s="101" t="s">
        <v>3</v>
      </c>
      <c r="H5" s="68"/>
      <c r="I5" s="69"/>
      <c r="J5" s="103"/>
      <c r="K5" s="104"/>
      <c r="L5" s="105" t="s">
        <v>4</v>
      </c>
      <c r="M5" s="105"/>
      <c r="N5" s="106"/>
      <c r="O5" s="107" t="s">
        <v>5</v>
      </c>
      <c r="P5" s="107" t="s">
        <v>6</v>
      </c>
    </row>
    <row r="6" spans="1:17" ht="15.75">
      <c r="A6" s="108"/>
      <c r="B6" s="108" t="s">
        <v>7</v>
      </c>
      <c r="C6" s="108"/>
      <c r="D6" s="108" t="s">
        <v>8</v>
      </c>
      <c r="E6" s="108" t="s">
        <v>9</v>
      </c>
      <c r="F6" s="109" t="s">
        <v>10</v>
      </c>
      <c r="G6" s="110" t="s">
        <v>11</v>
      </c>
      <c r="H6" s="111" t="s">
        <v>12</v>
      </c>
      <c r="I6" s="112" t="s">
        <v>11</v>
      </c>
      <c r="J6" s="113" t="s">
        <v>13</v>
      </c>
      <c r="K6" s="112" t="s">
        <v>14</v>
      </c>
      <c r="L6" s="114" t="s">
        <v>15</v>
      </c>
      <c r="M6" s="114"/>
      <c r="N6" s="114" t="s">
        <v>16</v>
      </c>
      <c r="O6" s="115" t="s">
        <v>17</v>
      </c>
      <c r="P6" s="115" t="s">
        <v>18</v>
      </c>
    </row>
    <row r="7" spans="1:17">
      <c r="I7" s="69"/>
      <c r="L7" s="86" t="s">
        <v>103</v>
      </c>
      <c r="M7" s="86"/>
      <c r="O7" s="96"/>
      <c r="P7" s="96"/>
    </row>
    <row r="8" spans="1:17">
      <c r="I8" s="69"/>
      <c r="L8" s="116" t="s">
        <v>114</v>
      </c>
      <c r="M8" s="116"/>
      <c r="O8" s="96"/>
      <c r="P8" s="96"/>
    </row>
    <row r="9" spans="1:17" ht="15.75">
      <c r="A9" s="117" t="s">
        <v>21</v>
      </c>
      <c r="B9" s="117"/>
      <c r="C9" s="117"/>
      <c r="D9" s="118"/>
      <c r="E9" s="118"/>
      <c r="F9" s="119"/>
      <c r="G9" s="120"/>
      <c r="H9" s="119"/>
      <c r="I9" s="121"/>
      <c r="J9" s="121"/>
      <c r="K9" s="121"/>
      <c r="L9" s="116"/>
      <c r="M9" s="116"/>
      <c r="N9" s="68"/>
      <c r="O9" s="122"/>
      <c r="P9" s="96"/>
    </row>
    <row r="10" spans="1:17">
      <c r="A10" s="72" t="s">
        <v>23</v>
      </c>
      <c r="B10" s="75">
        <v>92081</v>
      </c>
      <c r="C10" s="72" t="s">
        <v>24</v>
      </c>
      <c r="D10" s="75">
        <v>1</v>
      </c>
      <c r="E10" s="72" t="s">
        <v>25</v>
      </c>
      <c r="F10" s="65">
        <v>191</v>
      </c>
      <c r="G10" s="66">
        <v>1.28</v>
      </c>
      <c r="H10" s="67">
        <f t="shared" ref="H10:H18" si="0">+F10*G10</f>
        <v>244.48000000000002</v>
      </c>
      <c r="I10" s="150">
        <v>27.59</v>
      </c>
      <c r="J10" s="69">
        <f t="shared" ref="J10:J18" si="1">H10*I10</f>
        <v>6745.2032000000008</v>
      </c>
      <c r="K10" s="69">
        <f t="shared" ref="K10:K18" si="2">J10/12</f>
        <v>562.1002666666667</v>
      </c>
      <c r="L10" s="74" t="s">
        <v>115</v>
      </c>
    </row>
    <row r="11" spans="1:17">
      <c r="A11" s="72" t="s">
        <v>23</v>
      </c>
      <c r="B11" s="75">
        <v>92050</v>
      </c>
      <c r="C11" s="72" t="s">
        <v>26</v>
      </c>
      <c r="D11" s="75">
        <v>4</v>
      </c>
      <c r="E11" s="72" t="s">
        <v>27</v>
      </c>
      <c r="F11" s="65">
        <f>11439-194</f>
        <v>11245</v>
      </c>
      <c r="G11" s="66">
        <v>1.53</v>
      </c>
      <c r="H11" s="67">
        <f>+F11*G11</f>
        <v>17204.849999999999</v>
      </c>
      <c r="I11" s="150">
        <v>22.76</v>
      </c>
      <c r="J11" s="69">
        <f t="shared" si="1"/>
        <v>391582.386</v>
      </c>
      <c r="K11" s="69">
        <f>J11/12-0.62</f>
        <v>32631.245500000001</v>
      </c>
      <c r="L11" s="74" t="s">
        <v>115</v>
      </c>
    </row>
    <row r="12" spans="1:17" hidden="1">
      <c r="A12" s="72" t="s">
        <v>23</v>
      </c>
      <c r="B12" s="75">
        <v>92070</v>
      </c>
      <c r="C12" s="72" t="s">
        <v>28</v>
      </c>
      <c r="D12" s="75">
        <v>1</v>
      </c>
      <c r="E12" s="72" t="s">
        <v>25</v>
      </c>
      <c r="F12" s="65">
        <v>0</v>
      </c>
      <c r="G12" s="66">
        <v>1.62</v>
      </c>
      <c r="H12" s="67">
        <f t="shared" si="0"/>
        <v>0</v>
      </c>
      <c r="I12" s="150">
        <v>24.45</v>
      </c>
      <c r="J12" s="69">
        <f t="shared" si="1"/>
        <v>0</v>
      </c>
      <c r="K12" s="69">
        <f t="shared" si="2"/>
        <v>0</v>
      </c>
    </row>
    <row r="13" spans="1:17">
      <c r="A13" s="72" t="s">
        <v>23</v>
      </c>
      <c r="B13" s="75">
        <v>92071</v>
      </c>
      <c r="C13" s="72" t="s">
        <v>29</v>
      </c>
      <c r="D13" s="75">
        <v>1</v>
      </c>
      <c r="E13" s="72" t="s">
        <v>25</v>
      </c>
      <c r="F13" s="65">
        <v>96</v>
      </c>
      <c r="G13" s="66">
        <v>1.1499999999999999</v>
      </c>
      <c r="H13" s="67">
        <f t="shared" si="0"/>
        <v>110.39999999999999</v>
      </c>
      <c r="I13" s="150">
        <v>14.87</v>
      </c>
      <c r="J13" s="69">
        <f t="shared" si="1"/>
        <v>1641.6479999999997</v>
      </c>
      <c r="K13" s="69">
        <f t="shared" si="2"/>
        <v>136.80399999999997</v>
      </c>
      <c r="L13" s="74" t="s">
        <v>115</v>
      </c>
    </row>
    <row r="14" spans="1:17" hidden="1">
      <c r="A14" s="72" t="s">
        <v>23</v>
      </c>
      <c r="B14" s="75">
        <v>92067</v>
      </c>
      <c r="C14" s="72" t="s">
        <v>30</v>
      </c>
      <c r="D14" s="75">
        <v>1</v>
      </c>
      <c r="E14" s="72" t="s">
        <v>25</v>
      </c>
      <c r="F14" s="65">
        <v>0</v>
      </c>
      <c r="G14" s="66">
        <v>1.76</v>
      </c>
      <c r="H14" s="67">
        <f t="shared" si="0"/>
        <v>0</v>
      </c>
      <c r="I14" s="150">
        <v>38.450000000000003</v>
      </c>
      <c r="J14" s="69">
        <f t="shared" si="1"/>
        <v>0</v>
      </c>
      <c r="K14" s="69">
        <f t="shared" si="2"/>
        <v>0</v>
      </c>
    </row>
    <row r="15" spans="1:17" hidden="1">
      <c r="A15" s="72" t="s">
        <v>23</v>
      </c>
      <c r="B15" s="75">
        <v>92051</v>
      </c>
      <c r="C15" s="72" t="s">
        <v>31</v>
      </c>
      <c r="D15" s="75">
        <v>4</v>
      </c>
      <c r="E15" s="72" t="s">
        <v>25</v>
      </c>
      <c r="F15" s="65"/>
      <c r="G15" s="66">
        <v>1.31</v>
      </c>
      <c r="H15" s="67">
        <f t="shared" si="0"/>
        <v>0</v>
      </c>
      <c r="I15" s="150">
        <v>22.69</v>
      </c>
      <c r="J15" s="69">
        <f t="shared" si="1"/>
        <v>0</v>
      </c>
      <c r="K15" s="69">
        <f t="shared" si="2"/>
        <v>0</v>
      </c>
    </row>
    <row r="16" spans="1:17" hidden="1">
      <c r="A16" s="72" t="s">
        <v>23</v>
      </c>
      <c r="B16" s="75">
        <v>92051</v>
      </c>
      <c r="C16" s="72" t="s">
        <v>31</v>
      </c>
      <c r="D16" s="75" t="s">
        <v>32</v>
      </c>
      <c r="E16" s="72" t="s">
        <v>25</v>
      </c>
      <c r="F16" s="65"/>
      <c r="G16" s="66">
        <v>1.31</v>
      </c>
      <c r="H16" s="67">
        <f t="shared" si="0"/>
        <v>0</v>
      </c>
      <c r="I16" s="150">
        <v>22.69</v>
      </c>
      <c r="J16" s="69">
        <f t="shared" si="1"/>
        <v>0</v>
      </c>
      <c r="K16" s="69">
        <f t="shared" si="2"/>
        <v>0</v>
      </c>
    </row>
    <row r="17" spans="1:20">
      <c r="A17" s="72" t="s">
        <v>23</v>
      </c>
      <c r="B17" s="75">
        <v>92077</v>
      </c>
      <c r="C17" s="72" t="s">
        <v>33</v>
      </c>
      <c r="D17" s="75">
        <v>1</v>
      </c>
      <c r="E17" s="72" t="s">
        <v>25</v>
      </c>
      <c r="F17" s="65">
        <v>805</v>
      </c>
      <c r="G17" s="66">
        <v>1.26</v>
      </c>
      <c r="H17" s="67">
        <f t="shared" si="0"/>
        <v>1014.3</v>
      </c>
      <c r="I17" s="150">
        <v>20.61</v>
      </c>
      <c r="J17" s="69">
        <f t="shared" si="1"/>
        <v>20904.722999999998</v>
      </c>
      <c r="K17" s="69">
        <f t="shared" si="2"/>
        <v>1742.0602499999998</v>
      </c>
      <c r="L17" s="74" t="s">
        <v>115</v>
      </c>
    </row>
    <row r="18" spans="1:20">
      <c r="A18" s="72" t="s">
        <v>23</v>
      </c>
      <c r="B18" s="75">
        <v>92061</v>
      </c>
      <c r="C18" s="72" t="s">
        <v>34</v>
      </c>
      <c r="D18" s="75">
        <v>1</v>
      </c>
      <c r="E18" s="123" t="s">
        <v>25</v>
      </c>
      <c r="F18" s="65">
        <v>96</v>
      </c>
      <c r="G18" s="66">
        <v>1.3</v>
      </c>
      <c r="H18" s="67">
        <f t="shared" si="0"/>
        <v>124.80000000000001</v>
      </c>
      <c r="I18" s="150">
        <v>28.54</v>
      </c>
      <c r="J18" s="69">
        <f t="shared" si="1"/>
        <v>3561.7920000000004</v>
      </c>
      <c r="K18" s="69">
        <f t="shared" si="2"/>
        <v>296.81600000000003</v>
      </c>
      <c r="L18" s="74" t="s">
        <v>115</v>
      </c>
    </row>
    <row r="19" spans="1:20">
      <c r="D19" s="75"/>
      <c r="E19" s="123"/>
      <c r="F19" s="70">
        <f>SUM(F10:F18)</f>
        <v>12433</v>
      </c>
      <c r="G19" s="66"/>
      <c r="H19" s="71">
        <f>SUM(H10:H18)</f>
        <v>18698.829999999998</v>
      </c>
      <c r="I19" s="151"/>
      <c r="J19" s="73">
        <f>SUM(J10:J18)</f>
        <v>424435.75219999999</v>
      </c>
      <c r="K19" s="73">
        <f>J19/12-0.62</f>
        <v>35369.026016666663</v>
      </c>
      <c r="N19" s="78" t="s">
        <v>76</v>
      </c>
      <c r="Q19" s="74" t="s">
        <v>116</v>
      </c>
    </row>
    <row r="20" spans="1:20">
      <c r="A20" s="72"/>
      <c r="B20" s="75"/>
      <c r="C20" s="72"/>
      <c r="D20" s="75"/>
      <c r="E20" s="72"/>
      <c r="F20" s="65"/>
      <c r="G20" s="66"/>
      <c r="H20" s="124"/>
      <c r="I20" s="152"/>
      <c r="L20" s="85"/>
      <c r="M20" s="85"/>
      <c r="N20" s="85"/>
    </row>
    <row r="21" spans="1:20">
      <c r="A21" s="72" t="s">
        <v>23</v>
      </c>
      <c r="B21" s="75">
        <v>92050</v>
      </c>
      <c r="C21" s="72" t="s">
        <v>26</v>
      </c>
      <c r="D21" s="75">
        <v>4</v>
      </c>
      <c r="E21" s="72" t="s">
        <v>117</v>
      </c>
      <c r="F21" s="65">
        <f>'[1]Feb2011 IT'!B73</f>
        <v>706.64</v>
      </c>
      <c r="G21" s="66">
        <v>1.53</v>
      </c>
      <c r="H21" s="67">
        <f>F21*G21</f>
        <v>1081.1592000000001</v>
      </c>
      <c r="I21" s="152">
        <v>22.76</v>
      </c>
      <c r="J21" s="73">
        <f>H21*I21</f>
        <v>24607.183392000003</v>
      </c>
      <c r="K21" s="73">
        <f>J21/12</f>
        <v>2050.5986160000002</v>
      </c>
      <c r="L21" s="74" t="s">
        <v>35</v>
      </c>
      <c r="M21" s="85"/>
      <c r="N21" s="85" t="s">
        <v>76</v>
      </c>
      <c r="Q21" s="74" t="s">
        <v>118</v>
      </c>
    </row>
    <row r="22" spans="1:20">
      <c r="A22" s="72"/>
      <c r="B22" s="75"/>
      <c r="C22" s="72"/>
      <c r="D22" s="75"/>
      <c r="E22" s="72"/>
      <c r="F22" s="65"/>
      <c r="G22" s="66"/>
      <c r="H22" s="124"/>
      <c r="I22" s="152"/>
      <c r="L22" s="85"/>
      <c r="M22" s="85"/>
      <c r="N22" s="85"/>
    </row>
    <row r="23" spans="1:20">
      <c r="A23" s="72" t="s">
        <v>23</v>
      </c>
      <c r="B23" s="75">
        <v>92050</v>
      </c>
      <c r="C23" s="72" t="s">
        <v>26</v>
      </c>
      <c r="D23" s="75">
        <v>4</v>
      </c>
      <c r="E23" s="72" t="s">
        <v>44</v>
      </c>
      <c r="F23" s="65">
        <v>577</v>
      </c>
      <c r="G23" s="66">
        <v>1.53</v>
      </c>
      <c r="H23" s="67">
        <f>+F23*G23</f>
        <v>882.81000000000006</v>
      </c>
      <c r="I23" s="150">
        <v>22.76</v>
      </c>
      <c r="J23" s="69">
        <f>+H23*I23</f>
        <v>20092.755600000004</v>
      </c>
      <c r="K23" s="69">
        <f>(+J23/12)</f>
        <v>1674.3963000000003</v>
      </c>
      <c r="L23" s="78" t="s">
        <v>119</v>
      </c>
      <c r="M23" s="77"/>
      <c r="N23" s="78"/>
      <c r="Q23" s="78" t="s">
        <v>120</v>
      </c>
    </row>
    <row r="24" spans="1:20">
      <c r="A24" s="72" t="s">
        <v>23</v>
      </c>
      <c r="B24" s="75">
        <v>92050</v>
      </c>
      <c r="C24" s="125" t="s">
        <v>26</v>
      </c>
      <c r="D24" s="75">
        <v>5</v>
      </c>
      <c r="E24" s="125" t="s">
        <v>121</v>
      </c>
      <c r="F24" s="65">
        <v>429</v>
      </c>
      <c r="G24" s="66">
        <v>1.53</v>
      </c>
      <c r="H24" s="67">
        <f>+F24*G24</f>
        <v>656.37</v>
      </c>
      <c r="I24" s="150">
        <v>22.76</v>
      </c>
      <c r="J24" s="69">
        <f>+H24*I24</f>
        <v>14938.981200000002</v>
      </c>
      <c r="K24" s="69">
        <f>+J24/12</f>
        <v>1244.9151000000002</v>
      </c>
      <c r="L24" s="78" t="s">
        <v>119</v>
      </c>
      <c r="M24" s="77"/>
      <c r="N24" s="78"/>
      <c r="Q24" s="96" t="s">
        <v>122</v>
      </c>
    </row>
    <row r="25" spans="1:20" s="133" customFormat="1" hidden="1">
      <c r="A25" s="126" t="s">
        <v>23</v>
      </c>
      <c r="B25" s="127">
        <v>92050</v>
      </c>
      <c r="C25" s="126" t="s">
        <v>26</v>
      </c>
      <c r="D25" s="127">
        <v>4</v>
      </c>
      <c r="E25" s="126" t="s">
        <v>48</v>
      </c>
      <c r="F25" s="128"/>
      <c r="G25" s="129">
        <v>1.53</v>
      </c>
      <c r="H25" s="130">
        <f>+F25*G25</f>
        <v>0</v>
      </c>
      <c r="I25" s="153">
        <v>23.65</v>
      </c>
      <c r="J25" s="131">
        <f>+H25*I25</f>
        <v>0</v>
      </c>
      <c r="K25" s="131">
        <f>(+J25/12)*-10</f>
        <v>0</v>
      </c>
      <c r="L25" s="132" t="s">
        <v>79</v>
      </c>
      <c r="M25" s="132"/>
      <c r="N25" s="132"/>
    </row>
    <row r="26" spans="1:20">
      <c r="A26" s="72" t="s">
        <v>23</v>
      </c>
      <c r="B26" s="75">
        <v>92050</v>
      </c>
      <c r="C26" s="72" t="s">
        <v>26</v>
      </c>
      <c r="D26" s="75">
        <v>4</v>
      </c>
      <c r="E26" s="72" t="s">
        <v>108</v>
      </c>
      <c r="F26" s="65">
        <v>153</v>
      </c>
      <c r="G26" s="66">
        <v>1.53</v>
      </c>
      <c r="H26" s="67">
        <f>+F26*G26</f>
        <v>234.09</v>
      </c>
      <c r="I26" s="150">
        <v>22.76</v>
      </c>
      <c r="J26" s="69">
        <f>+H26*I26</f>
        <v>5327.8884000000007</v>
      </c>
      <c r="K26" s="69">
        <f>(+J26/12)</f>
        <v>443.99070000000006</v>
      </c>
      <c r="L26" s="78" t="s">
        <v>123</v>
      </c>
      <c r="M26" s="91"/>
      <c r="N26" s="78"/>
      <c r="Q26" s="74" t="s">
        <v>110</v>
      </c>
    </row>
    <row r="27" spans="1:20" hidden="1">
      <c r="A27" s="72" t="s">
        <v>80</v>
      </c>
      <c r="B27" s="75">
        <v>49263</v>
      </c>
      <c r="C27" s="125" t="s">
        <v>81</v>
      </c>
      <c r="D27" s="75">
        <v>1</v>
      </c>
      <c r="E27" s="125" t="s">
        <v>82</v>
      </c>
      <c r="F27" s="65">
        <v>0</v>
      </c>
      <c r="G27" s="134" t="s">
        <v>83</v>
      </c>
      <c r="H27" s="67">
        <v>0</v>
      </c>
      <c r="I27" s="150">
        <v>22.66</v>
      </c>
      <c r="J27" s="69">
        <f>+H27*I27</f>
        <v>0</v>
      </c>
      <c r="K27" s="69">
        <f>+J27/12</f>
        <v>0</v>
      </c>
      <c r="L27" s="77" t="s">
        <v>84</v>
      </c>
      <c r="M27" s="77"/>
      <c r="N27" s="78"/>
    </row>
    <row r="28" spans="1:20">
      <c r="A28" s="72"/>
      <c r="B28" s="75"/>
      <c r="C28" s="72"/>
      <c r="D28" s="75"/>
      <c r="E28" s="72"/>
      <c r="F28" s="70">
        <f>SUM(F23:F27)</f>
        <v>1159</v>
      </c>
      <c r="G28" s="66"/>
      <c r="H28" s="76">
        <f>SUM(H23:H25)</f>
        <v>1539.18</v>
      </c>
      <c r="I28" s="150"/>
      <c r="J28" s="73">
        <f>SUM(J23:J27)</f>
        <v>40359.625200000009</v>
      </c>
      <c r="K28" s="73">
        <f>SUM(K23:K27)+0.01</f>
        <v>3363.312100000001</v>
      </c>
      <c r="N28" s="78" t="s">
        <v>76</v>
      </c>
    </row>
    <row r="29" spans="1:20">
      <c r="A29" s="72"/>
      <c r="B29" s="75"/>
      <c r="C29" s="72"/>
      <c r="D29" s="75"/>
      <c r="E29" s="72"/>
      <c r="F29" s="135"/>
      <c r="G29" s="66"/>
      <c r="H29" s="135"/>
      <c r="I29" s="150"/>
    </row>
    <row r="30" spans="1:20">
      <c r="A30" s="72" t="s">
        <v>23</v>
      </c>
      <c r="B30" s="75">
        <v>92050</v>
      </c>
      <c r="C30" s="72" t="s">
        <v>26</v>
      </c>
      <c r="D30" s="75">
        <v>5</v>
      </c>
      <c r="E30" s="72" t="s">
        <v>50</v>
      </c>
      <c r="F30" s="70">
        <v>1520</v>
      </c>
      <c r="G30" s="66">
        <v>1.53</v>
      </c>
      <c r="H30" s="76">
        <f>+F30*G30</f>
        <v>2325.6</v>
      </c>
      <c r="I30" s="150">
        <v>22.76</v>
      </c>
      <c r="J30" s="73">
        <f>+H30*I30</f>
        <v>52930.656000000003</v>
      </c>
      <c r="K30" s="73">
        <f>(+J30/12)</f>
        <v>4410.8879999999999</v>
      </c>
      <c r="L30" s="78" t="s">
        <v>124</v>
      </c>
      <c r="M30" s="77"/>
      <c r="N30" s="78" t="s">
        <v>76</v>
      </c>
      <c r="P30" s="79"/>
      <c r="Q30" s="74" t="s">
        <v>125</v>
      </c>
    </row>
    <row r="31" spans="1:20">
      <c r="A31" s="72"/>
      <c r="B31" s="75"/>
      <c r="C31" s="72"/>
      <c r="D31" s="75"/>
      <c r="E31" s="72"/>
      <c r="F31" s="65"/>
      <c r="G31" s="66"/>
      <c r="H31" s="65"/>
      <c r="I31" s="150"/>
    </row>
    <row r="32" spans="1:20" ht="24" customHeight="1">
      <c r="A32" s="72" t="s">
        <v>23</v>
      </c>
      <c r="B32" s="75">
        <v>92050</v>
      </c>
      <c r="C32" s="72" t="s">
        <v>86</v>
      </c>
      <c r="D32" s="75">
        <v>4</v>
      </c>
      <c r="E32" s="72" t="s">
        <v>52</v>
      </c>
      <c r="F32" s="70">
        <v>1614</v>
      </c>
      <c r="G32" s="66">
        <v>1.53</v>
      </c>
      <c r="H32" s="76">
        <f>+F32*G32</f>
        <v>2469.42</v>
      </c>
      <c r="I32" s="151">
        <v>14.93</v>
      </c>
      <c r="J32" s="73">
        <f>+H32*I32</f>
        <v>36868.440600000002</v>
      </c>
      <c r="K32" s="73">
        <f>(+J32/12)</f>
        <v>3072.37005</v>
      </c>
      <c r="L32" s="78" t="s">
        <v>126</v>
      </c>
      <c r="M32" s="91"/>
      <c r="N32" s="78" t="s">
        <v>76</v>
      </c>
      <c r="P32" s="92"/>
      <c r="Q32" s="154" t="s">
        <v>127</v>
      </c>
      <c r="R32" s="154"/>
      <c r="S32" s="93"/>
      <c r="T32" s="93"/>
    </row>
    <row r="33" spans="1:20">
      <c r="A33" s="72"/>
      <c r="B33" s="75"/>
      <c r="C33" s="72"/>
      <c r="D33" s="75"/>
      <c r="E33" s="72"/>
      <c r="F33" s="65"/>
      <c r="G33" s="66"/>
      <c r="H33" s="135"/>
      <c r="P33" s="93"/>
      <c r="Q33" s="154"/>
      <c r="R33" s="154"/>
      <c r="S33" s="93"/>
      <c r="T33" s="93"/>
    </row>
    <row r="34" spans="1:20" hidden="1">
      <c r="A34" s="72" t="s">
        <v>23</v>
      </c>
      <c r="B34" s="75">
        <v>49275</v>
      </c>
      <c r="C34" s="72" t="s">
        <v>88</v>
      </c>
      <c r="D34" s="75">
        <v>1</v>
      </c>
      <c r="E34" s="72" t="s">
        <v>55</v>
      </c>
      <c r="F34" s="65">
        <v>0</v>
      </c>
      <c r="G34" s="66">
        <v>1.74</v>
      </c>
      <c r="H34" s="67">
        <f t="shared" ref="H34:H39" si="3">+F34*G34</f>
        <v>0</v>
      </c>
      <c r="I34" s="68">
        <v>27.44</v>
      </c>
      <c r="J34" s="69">
        <f t="shared" ref="J34:J39" si="4">+H34*I34</f>
        <v>0</v>
      </c>
      <c r="K34" s="69">
        <f>+J34/12</f>
        <v>0</v>
      </c>
      <c r="O34" s="81">
        <f t="shared" ref="O34:O39" si="5">+K34*0.06</f>
        <v>0</v>
      </c>
      <c r="P34" s="82">
        <v>0</v>
      </c>
      <c r="Q34" s="83">
        <f t="shared" ref="Q34:Q39" si="6">+K34+O34+P34</f>
        <v>0</v>
      </c>
      <c r="R34" s="74" t="s">
        <v>89</v>
      </c>
    </row>
    <row r="35" spans="1:20" hidden="1">
      <c r="A35" s="72" t="s">
        <v>23</v>
      </c>
      <c r="B35" s="75">
        <v>92052</v>
      </c>
      <c r="C35" s="72" t="s">
        <v>54</v>
      </c>
      <c r="D35" s="75">
        <v>1</v>
      </c>
      <c r="E35" s="72" t="s">
        <v>55</v>
      </c>
      <c r="F35" s="65">
        <v>0</v>
      </c>
      <c r="G35" s="90">
        <v>1.53</v>
      </c>
      <c r="H35" s="67">
        <f t="shared" si="3"/>
        <v>0</v>
      </c>
      <c r="I35" s="68">
        <v>12.91</v>
      </c>
      <c r="J35" s="69">
        <f t="shared" si="4"/>
        <v>0</v>
      </c>
      <c r="K35" s="69">
        <f>+J35/12</f>
        <v>0</v>
      </c>
      <c r="L35" s="87" t="s">
        <v>56</v>
      </c>
      <c r="M35" s="87"/>
      <c r="N35" s="78"/>
      <c r="O35" s="81">
        <f t="shared" si="5"/>
        <v>0</v>
      </c>
      <c r="P35" s="81">
        <f>+K35*0.015</f>
        <v>0</v>
      </c>
      <c r="Q35" s="85">
        <f t="shared" si="6"/>
        <v>0</v>
      </c>
    </row>
    <row r="36" spans="1:20" hidden="1">
      <c r="A36" s="119" t="s">
        <v>23</v>
      </c>
      <c r="B36" s="136">
        <v>92050</v>
      </c>
      <c r="C36" s="119" t="s">
        <v>26</v>
      </c>
      <c r="D36" s="136">
        <v>2</v>
      </c>
      <c r="E36" s="72" t="s">
        <v>57</v>
      </c>
      <c r="F36" s="65">
        <v>0</v>
      </c>
      <c r="G36" s="66"/>
      <c r="H36" s="67">
        <f t="shared" si="3"/>
        <v>0</v>
      </c>
      <c r="I36" s="68">
        <v>23.65</v>
      </c>
      <c r="J36" s="69">
        <f t="shared" si="4"/>
        <v>0</v>
      </c>
      <c r="K36" s="69">
        <f>+J36/12</f>
        <v>0</v>
      </c>
      <c r="L36" s="87" t="str">
        <f>L35</f>
        <v>146-90011</v>
      </c>
      <c r="M36" s="87"/>
      <c r="N36" s="78"/>
      <c r="O36" s="81">
        <f t="shared" si="5"/>
        <v>0</v>
      </c>
      <c r="P36" s="81">
        <f>+K36*0.015</f>
        <v>0</v>
      </c>
      <c r="Q36" s="85">
        <f t="shared" si="6"/>
        <v>0</v>
      </c>
    </row>
    <row r="37" spans="1:20" hidden="1">
      <c r="A37" s="72" t="s">
        <v>23</v>
      </c>
      <c r="B37" s="75">
        <v>92085</v>
      </c>
      <c r="C37" s="72" t="s">
        <v>58</v>
      </c>
      <c r="D37" s="75">
        <v>1</v>
      </c>
      <c r="E37" s="72" t="s">
        <v>57</v>
      </c>
      <c r="F37" s="65">
        <v>0</v>
      </c>
      <c r="G37" s="66">
        <v>1.51</v>
      </c>
      <c r="H37" s="67">
        <f t="shared" si="3"/>
        <v>0</v>
      </c>
      <c r="I37" s="68">
        <v>20.51</v>
      </c>
      <c r="J37" s="69">
        <f t="shared" si="4"/>
        <v>0</v>
      </c>
      <c r="L37" s="84" t="str">
        <f>L36</f>
        <v>146-90011</v>
      </c>
      <c r="M37" s="84"/>
      <c r="N37" s="78"/>
      <c r="O37" s="81">
        <f t="shared" si="5"/>
        <v>0</v>
      </c>
      <c r="P37" s="81">
        <f>+K37*0.01</f>
        <v>0</v>
      </c>
      <c r="Q37" s="85">
        <f t="shared" si="6"/>
        <v>0</v>
      </c>
      <c r="R37" s="86" t="s">
        <v>90</v>
      </c>
    </row>
    <row r="38" spans="1:20" ht="17.25" hidden="1" customHeight="1">
      <c r="A38" s="72" t="s">
        <v>23</v>
      </c>
      <c r="B38" s="75">
        <v>92051</v>
      </c>
      <c r="C38" s="72" t="s">
        <v>60</v>
      </c>
      <c r="D38" s="75">
        <v>3</v>
      </c>
      <c r="E38" s="72" t="s">
        <v>57</v>
      </c>
      <c r="F38" s="65">
        <v>0</v>
      </c>
      <c r="G38" s="66">
        <v>1.31</v>
      </c>
      <c r="H38" s="67">
        <f t="shared" si="3"/>
        <v>0</v>
      </c>
      <c r="I38" s="68">
        <v>22.69</v>
      </c>
      <c r="J38" s="69">
        <f t="shared" si="4"/>
        <v>0</v>
      </c>
      <c r="K38" s="69">
        <f>+J38/12</f>
        <v>0</v>
      </c>
      <c r="L38" s="84" t="s">
        <v>56</v>
      </c>
      <c r="M38" s="84"/>
      <c r="N38" s="78"/>
      <c r="O38" s="81">
        <f t="shared" si="5"/>
        <v>0</v>
      </c>
      <c r="P38" s="81">
        <f>+K38*0.015</f>
        <v>0</v>
      </c>
      <c r="Q38" s="85">
        <f t="shared" si="6"/>
        <v>0</v>
      </c>
      <c r="R38" s="86" t="s">
        <v>91</v>
      </c>
    </row>
    <row r="39" spans="1:20" hidden="1">
      <c r="A39" s="72" t="s">
        <v>23</v>
      </c>
      <c r="B39" s="75">
        <v>92076</v>
      </c>
      <c r="C39" s="72" t="s">
        <v>62</v>
      </c>
      <c r="D39" s="75">
        <v>1</v>
      </c>
      <c r="E39" s="72" t="s">
        <v>57</v>
      </c>
      <c r="F39" s="65">
        <v>0</v>
      </c>
      <c r="G39" s="66">
        <v>1.6</v>
      </c>
      <c r="H39" s="67">
        <f t="shared" si="3"/>
        <v>0</v>
      </c>
      <c r="I39" s="68">
        <v>21.13</v>
      </c>
      <c r="J39" s="69">
        <f t="shared" si="4"/>
        <v>0</v>
      </c>
      <c r="K39" s="69">
        <f>+J39/12</f>
        <v>0</v>
      </c>
      <c r="L39" s="87" t="str">
        <f>L38</f>
        <v>146-90011</v>
      </c>
      <c r="M39" s="87"/>
      <c r="N39" s="78"/>
      <c r="O39" s="81">
        <f t="shared" si="5"/>
        <v>0</v>
      </c>
      <c r="P39" s="81">
        <f>+K39*0</f>
        <v>0</v>
      </c>
      <c r="Q39" s="85">
        <f t="shared" si="6"/>
        <v>0</v>
      </c>
      <c r="R39" s="86" t="s">
        <v>92</v>
      </c>
    </row>
    <row r="40" spans="1:20" hidden="1">
      <c r="A40" s="72"/>
      <c r="B40" s="75"/>
      <c r="C40" s="72"/>
      <c r="D40" s="75"/>
      <c r="E40" s="72"/>
      <c r="F40" s="70">
        <f>SUM(F34:F39)</f>
        <v>0</v>
      </c>
      <c r="H40" s="76">
        <f>SUM(H34:H39)</f>
        <v>0</v>
      </c>
      <c r="J40" s="73">
        <f>SUM(J34:J39)</f>
        <v>0</v>
      </c>
      <c r="K40" s="73">
        <f>SUM(K34:K39)</f>
        <v>0</v>
      </c>
      <c r="N40" s="78" t="s">
        <v>76</v>
      </c>
      <c r="O40" s="137">
        <f>SUM(O34:O39)</f>
        <v>0</v>
      </c>
      <c r="P40" s="138">
        <f>SUM(P34:P39)</f>
        <v>0</v>
      </c>
      <c r="Q40" s="137">
        <f>SUM(Q34:Q39)</f>
        <v>0</v>
      </c>
      <c r="R40" s="86" t="s">
        <v>93</v>
      </c>
    </row>
    <row r="41" spans="1:20" hidden="1">
      <c r="A41" s="72"/>
      <c r="B41" s="75"/>
      <c r="C41" s="72"/>
      <c r="D41" s="75"/>
      <c r="E41" s="72"/>
      <c r="F41" s="65"/>
      <c r="H41" s="65"/>
      <c r="J41" s="139"/>
      <c r="K41" s="139"/>
      <c r="O41" s="92"/>
      <c r="P41" s="92"/>
      <c r="Q41" s="92"/>
    </row>
    <row r="42" spans="1:20">
      <c r="A42" s="72" t="s">
        <v>23</v>
      </c>
      <c r="B42" s="72" t="s">
        <v>65</v>
      </c>
      <c r="D42" s="75"/>
      <c r="E42" s="72" t="s">
        <v>66</v>
      </c>
      <c r="F42" s="65"/>
      <c r="G42" s="66"/>
      <c r="H42" s="124"/>
      <c r="J42" s="69">
        <f>+K42*12</f>
        <v>2736.96</v>
      </c>
      <c r="K42" s="69">
        <v>228.08</v>
      </c>
      <c r="L42" s="77" t="s">
        <v>94</v>
      </c>
      <c r="M42" s="77"/>
    </row>
    <row r="43" spans="1:20">
      <c r="A43" s="72" t="s">
        <v>23</v>
      </c>
      <c r="B43" s="72" t="s">
        <v>65</v>
      </c>
      <c r="D43" s="75"/>
      <c r="E43" s="72" t="s">
        <v>68</v>
      </c>
      <c r="F43" s="65"/>
      <c r="G43" s="66"/>
      <c r="H43" s="124"/>
      <c r="J43" s="69">
        <f>+K43*12</f>
        <v>304.20000000000005</v>
      </c>
      <c r="K43" s="69">
        <v>25.35</v>
      </c>
      <c r="L43" s="77" t="s">
        <v>95</v>
      </c>
      <c r="M43" s="77"/>
    </row>
    <row r="44" spans="1:20">
      <c r="J44" s="73">
        <f>SUM(J42:J43)</f>
        <v>3041.16</v>
      </c>
      <c r="K44" s="73">
        <f>SUM(K42:K43)</f>
        <v>253.43</v>
      </c>
      <c r="N44" s="77" t="s">
        <v>76</v>
      </c>
    </row>
    <row r="45" spans="1:20" ht="15.75" thickBot="1"/>
    <row r="46" spans="1:20" ht="20.25" thickTop="1" thickBot="1">
      <c r="C46" s="88"/>
      <c r="F46" s="140">
        <f>SUM(F19,F21,F28,F30,F32,F40)</f>
        <v>17432.64</v>
      </c>
      <c r="H46" s="140">
        <f>SUM(H19,H21,H28,H30,H32,H40)</f>
        <v>26114.189199999993</v>
      </c>
      <c r="J46" s="141">
        <f>SUM(J19,J21,J28,J30,J32,J40,J44)</f>
        <v>582242.817392</v>
      </c>
      <c r="K46" s="141">
        <f>SUM(K19,K21,K28,K30,K32,K40,K44)+0.01</f>
        <v>48519.634782666668</v>
      </c>
      <c r="O46" s="142">
        <f>+O40</f>
        <v>0</v>
      </c>
      <c r="P46" s="143">
        <f>+P40</f>
        <v>0</v>
      </c>
      <c r="Q46" s="89">
        <f>SUM(K46:P46)-K25</f>
        <v>48519.634782666668</v>
      </c>
    </row>
    <row r="47" spans="1:20" ht="15.75" thickTop="1"/>
    <row r="48" spans="1:20">
      <c r="A48" s="155" t="s">
        <v>133</v>
      </c>
      <c r="E48" s="79"/>
    </row>
    <row r="49" spans="1:17">
      <c r="Q49" s="85"/>
    </row>
    <row r="50" spans="1:17" ht="18.75">
      <c r="H50" s="144" t="s">
        <v>96</v>
      </c>
    </row>
    <row r="51" spans="1:17" ht="18.75">
      <c r="H51" s="144"/>
    </row>
    <row r="52" spans="1:17">
      <c r="A52" s="107" t="s">
        <v>97</v>
      </c>
    </row>
    <row r="53" spans="1:17">
      <c r="A53" s="74" t="s">
        <v>98</v>
      </c>
    </row>
    <row r="54" spans="1:17">
      <c r="A54" s="74" t="s">
        <v>99</v>
      </c>
    </row>
    <row r="55" spans="1:17">
      <c r="A55" s="96" t="s">
        <v>100</v>
      </c>
    </row>
    <row r="56" spans="1:17">
      <c r="A56" s="96" t="s">
        <v>101</v>
      </c>
    </row>
    <row r="59" spans="1:17">
      <c r="G59" s="145"/>
    </row>
    <row r="60" spans="1:17">
      <c r="G60" s="74"/>
    </row>
    <row r="81" spans="1:1">
      <c r="A81" s="74" t="s">
        <v>102</v>
      </c>
    </row>
  </sheetData>
  <mergeCells count="1">
    <mergeCell ref="Q32:R33"/>
  </mergeCells>
  <printOptions horizontalCentered="1"/>
  <pageMargins left="0.25" right="0.25" top="1" bottom="1" header="0.5" footer="0.5"/>
  <pageSetup scale="54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2008</vt:lpstr>
      <vt:lpstr>2009</vt:lpstr>
      <vt:lpstr>2010</vt:lpstr>
      <vt:lpstr>2011</vt:lpstr>
      <vt:lpstr>2012 TY</vt:lpstr>
      <vt:lpstr>'2008'!Print_Area</vt:lpstr>
      <vt:lpstr>'2009'!Print_Area</vt:lpstr>
      <vt:lpstr>'2010'!Print_Area</vt:lpstr>
      <vt:lpstr>'2011'!Print_Area</vt:lpstr>
      <vt:lpstr>'2012 TY'!Print_Area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ddangelo</dc:creator>
  <cp:lastModifiedBy>ddangelo</cp:lastModifiedBy>
  <dcterms:created xsi:type="dcterms:W3CDTF">2011-08-03T17:41:33Z</dcterms:created>
  <dcterms:modified xsi:type="dcterms:W3CDTF">2011-08-05T23:24:36Z</dcterms:modified>
</cp:coreProperties>
</file>