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585" yWindow="-15" windowWidth="9660" windowHeight="11640" tabRatio="739" activeTab="4"/>
  </bookViews>
  <sheets>
    <sheet name="12MTDMar2011" sheetId="33" r:id="rId1"/>
    <sheet name="Dec 2010" sheetId="30" r:id="rId2"/>
    <sheet name="Mar 2010" sheetId="31" r:id="rId3"/>
    <sheet name="Mar 2011" sheetId="10" r:id="rId4"/>
    <sheet name="Timing" sheetId="34"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Print_Area" localSheetId="0">'12MTDMar2011'!$Y$1:$AD$81</definedName>
    <definedName name="_xlnm.Print_Area" localSheetId="1">'Dec 2010'!$AA$1:$AF$76</definedName>
    <definedName name="_xlnm.Print_Area" localSheetId="2">'Mar 2010'!$AA$1:$AF$76</definedName>
    <definedName name="_xlnm.Print_Area" localSheetId="3">'Mar 2011'!$AA$1:$AF$76</definedName>
    <definedName name="_xlnm.Print_Area" localSheetId="4">Timing!$A$1:$G$50</definedName>
  </definedNames>
  <calcPr calcId="125725"/>
</workbook>
</file>

<file path=xl/calcChain.xml><?xml version="1.0" encoding="utf-8"?>
<calcChain xmlns="http://schemas.openxmlformats.org/spreadsheetml/2006/main">
  <c r="D49" i="34"/>
  <c r="J49" s="1"/>
  <c r="K49" s="1"/>
  <c r="D48"/>
  <c r="D46"/>
  <c r="J46" s="1"/>
  <c r="K46" s="1"/>
  <c r="D41"/>
  <c r="J41" s="1"/>
  <c r="K41" s="1"/>
  <c r="D39"/>
  <c r="J39" s="1"/>
  <c r="K39" s="1"/>
  <c r="E39"/>
  <c r="K38"/>
  <c r="K40"/>
  <c r="K42"/>
  <c r="K43"/>
  <c r="K44"/>
  <c r="K45"/>
  <c r="K47"/>
  <c r="K37"/>
  <c r="J38"/>
  <c r="J40"/>
  <c r="J42"/>
  <c r="J43"/>
  <c r="J44"/>
  <c r="J45"/>
  <c r="J47"/>
  <c r="J48"/>
  <c r="K48" s="1"/>
  <c r="J37"/>
  <c r="E38"/>
  <c r="E50" s="1"/>
  <c r="D38"/>
  <c r="C49"/>
  <c r="D37"/>
  <c r="E37"/>
  <c r="D40"/>
  <c r="E40"/>
  <c r="E41"/>
  <c r="D42"/>
  <c r="E42"/>
  <c r="D43"/>
  <c r="E43"/>
  <c r="D44"/>
  <c r="E44"/>
  <c r="D45"/>
  <c r="E45"/>
  <c r="E46"/>
  <c r="D47"/>
  <c r="E47"/>
  <c r="E48"/>
  <c r="E49"/>
  <c r="C48"/>
  <c r="C47"/>
  <c r="C46"/>
  <c r="C45"/>
  <c r="C44"/>
  <c r="C43"/>
  <c r="C42"/>
  <c r="C41"/>
  <c r="C40"/>
  <c r="C39"/>
  <c r="C38"/>
  <c r="C37"/>
  <c r="C50" s="1"/>
  <c r="F38"/>
  <c r="I38" s="1"/>
  <c r="F49"/>
  <c r="I49" s="1"/>
  <c r="I39"/>
  <c r="I40"/>
  <c r="I41"/>
  <c r="I42"/>
  <c r="I43"/>
  <c r="I44"/>
  <c r="I45"/>
  <c r="I46"/>
  <c r="I47"/>
  <c r="I48"/>
  <c r="I37"/>
  <c r="D50" l="1"/>
  <c r="J50" s="1"/>
  <c r="K50" s="1"/>
  <c r="F48" l="1"/>
  <c r="F47"/>
  <c r="F46"/>
  <c r="F45"/>
  <c r="F44"/>
  <c r="F43"/>
  <c r="F42"/>
  <c r="F40"/>
  <c r="F41"/>
  <c r="F39"/>
  <c r="F37"/>
  <c r="F50" l="1"/>
  <c r="I50" s="1"/>
  <c r="C35" l="1"/>
  <c r="D35"/>
  <c r="E35"/>
  <c r="F10"/>
  <c r="F11"/>
  <c r="F12"/>
  <c r="F13"/>
  <c r="F14"/>
  <c r="F15"/>
  <c r="F16"/>
  <c r="F17"/>
  <c r="F18"/>
  <c r="F19"/>
  <c r="F20"/>
  <c r="F21"/>
  <c r="F22"/>
  <c r="F23"/>
  <c r="F24"/>
  <c r="F25"/>
  <c r="F26"/>
  <c r="F27"/>
  <c r="F28"/>
  <c r="F29"/>
  <c r="F30"/>
  <c r="F31"/>
  <c r="F32"/>
  <c r="F33"/>
  <c r="F34"/>
  <c r="F9"/>
  <c r="AC79" i="33"/>
  <c r="AC81" s="1"/>
  <c r="AD79"/>
  <c r="AD80"/>
  <c r="AD78"/>
  <c r="AC80"/>
  <c r="AC78"/>
  <c r="F35" i="34" l="1"/>
  <c r="AD81" i="33"/>
  <c r="AG71" i="10" l="1"/>
  <c r="R71"/>
  <c r="AG71" i="31"/>
  <c r="R71"/>
  <c r="G71"/>
  <c r="AG71" i="30"/>
  <c r="AE72" i="33"/>
  <c r="AE71"/>
  <c r="AE70"/>
  <c r="F64" i="10"/>
  <c r="F57" l="1"/>
  <c r="F68"/>
  <c r="AF83"/>
  <c r="AD68" i="33"/>
  <c r="AB68"/>
  <c r="AA68"/>
  <c r="Z68"/>
  <c r="AC68" s="1"/>
  <c r="AD67"/>
  <c r="AB67"/>
  <c r="AA67"/>
  <c r="Z67"/>
  <c r="AC67" s="1"/>
  <c r="AD66"/>
  <c r="AB66"/>
  <c r="AA66"/>
  <c r="Z66"/>
  <c r="AC66" s="1"/>
  <c r="AD65"/>
  <c r="AB65"/>
  <c r="AA65"/>
  <c r="Z65"/>
  <c r="AD64"/>
  <c r="AB64"/>
  <c r="AA64"/>
  <c r="Z64"/>
  <c r="AC64" s="1"/>
  <c r="AD63"/>
  <c r="AB63"/>
  <c r="AA63"/>
  <c r="Z63"/>
  <c r="F60"/>
  <c r="AF60" s="1"/>
  <c r="E60"/>
  <c r="AE60" s="1"/>
  <c r="AD59"/>
  <c r="AB59"/>
  <c r="AA59"/>
  <c r="Z59"/>
  <c r="AC59" s="1"/>
  <c r="F58"/>
  <c r="AD57"/>
  <c r="AB57"/>
  <c r="AA57"/>
  <c r="Z57"/>
  <c r="AD56"/>
  <c r="AB56"/>
  <c r="AA56"/>
  <c r="Z56"/>
  <c r="AD55"/>
  <c r="AB55"/>
  <c r="AA55"/>
  <c r="Z55"/>
  <c r="AD54"/>
  <c r="AB54"/>
  <c r="AA54"/>
  <c r="Z54"/>
  <c r="AD53"/>
  <c r="AB53"/>
  <c r="AA53"/>
  <c r="Z53"/>
  <c r="AD52"/>
  <c r="AB52"/>
  <c r="AA52"/>
  <c r="Z52"/>
  <c r="F49"/>
  <c r="Z46"/>
  <c r="AB45"/>
  <c r="AB47" s="1"/>
  <c r="AB49" s="1"/>
  <c r="AB58" s="1"/>
  <c r="AB60" s="1"/>
  <c r="AB69" s="1"/>
  <c r="AA45"/>
  <c r="AA47" s="1"/>
  <c r="AA49" s="1"/>
  <c r="AA58" s="1"/>
  <c r="AA60" s="1"/>
  <c r="AA69" s="1"/>
  <c r="Z45"/>
  <c r="Z47" s="1"/>
  <c r="Z49" s="1"/>
  <c r="F43"/>
  <c r="AE43" s="1"/>
  <c r="Z42"/>
  <c r="F42"/>
  <c r="AE42" s="1"/>
  <c r="AD41"/>
  <c r="AD40"/>
  <c r="AB40"/>
  <c r="AB42" s="1"/>
  <c r="AA40"/>
  <c r="AA42" s="1"/>
  <c r="F39"/>
  <c r="AE39" s="1"/>
  <c r="AE36"/>
  <c r="AD33"/>
  <c r="Z33" s="1"/>
  <c r="AB33" s="1"/>
  <c r="AD32"/>
  <c r="AD31"/>
  <c r="Z31"/>
  <c r="AD27"/>
  <c r="Z27" s="1"/>
  <c r="AD26"/>
  <c r="AD25"/>
  <c r="AB25" s="1"/>
  <c r="AD24"/>
  <c r="AB24" s="1"/>
  <c r="AD23"/>
  <c r="AD28" s="1"/>
  <c r="AD19"/>
  <c r="AB19" s="1"/>
  <c r="AD18"/>
  <c r="AB18" s="1"/>
  <c r="AD17"/>
  <c r="AB17" s="1"/>
  <c r="AD16"/>
  <c r="AB16" s="1"/>
  <c r="AD15"/>
  <c r="Z15"/>
  <c r="AB15" s="1"/>
  <c r="AD14"/>
  <c r="AB14" s="1"/>
  <c r="AA14"/>
  <c r="E13"/>
  <c r="AJ9"/>
  <c r="AJ10" s="1"/>
  <c r="AI9"/>
  <c r="AI10" s="1"/>
  <c r="AH9"/>
  <c r="AK9" s="1"/>
  <c r="AD9"/>
  <c r="AA9" s="1"/>
  <c r="Z9"/>
  <c r="AB9" s="1"/>
  <c r="AK8"/>
  <c r="AD8"/>
  <c r="AD10" s="1"/>
  <c r="AF68" i="31"/>
  <c r="AD68"/>
  <c r="AC68"/>
  <c r="AB68"/>
  <c r="AE68" s="1"/>
  <c r="AF67"/>
  <c r="AD67"/>
  <c r="AC67"/>
  <c r="AB67"/>
  <c r="AE67" s="1"/>
  <c r="AF66"/>
  <c r="AD66"/>
  <c r="AC66"/>
  <c r="AB66"/>
  <c r="AE66" s="1"/>
  <c r="AF65"/>
  <c r="AD65"/>
  <c r="AC65"/>
  <c r="AE65" s="1"/>
  <c r="AB65"/>
  <c r="AF64"/>
  <c r="AD64"/>
  <c r="AC64"/>
  <c r="AB64"/>
  <c r="AE64" s="1"/>
  <c r="AF63"/>
  <c r="AD63"/>
  <c r="AC63"/>
  <c r="AB63"/>
  <c r="AE63" s="1"/>
  <c r="AF59"/>
  <c r="AB59"/>
  <c r="AE59" s="1"/>
  <c r="AF57"/>
  <c r="AD57"/>
  <c r="AC57"/>
  <c r="AB57"/>
  <c r="AE57" s="1"/>
  <c r="AF56"/>
  <c r="AD56"/>
  <c r="AC56"/>
  <c r="AB56"/>
  <c r="AE56" s="1"/>
  <c r="AF55"/>
  <c r="AD55"/>
  <c r="AC55"/>
  <c r="AB55"/>
  <c r="AE55" s="1"/>
  <c r="AF54"/>
  <c r="AD54"/>
  <c r="AC54"/>
  <c r="AB54"/>
  <c r="AE54" s="1"/>
  <c r="AF53"/>
  <c r="AD53"/>
  <c r="AC53"/>
  <c r="AB53"/>
  <c r="AE53" s="1"/>
  <c r="AD52"/>
  <c r="AC52"/>
  <c r="AB52"/>
  <c r="AE52" s="1"/>
  <c r="AB42"/>
  <c r="AF41"/>
  <c r="AF40"/>
  <c r="AD40"/>
  <c r="AD42" s="1"/>
  <c r="AC40"/>
  <c r="AC42" s="1"/>
  <c r="AF33"/>
  <c r="AB33" s="1"/>
  <c r="AF32"/>
  <c r="AF31"/>
  <c r="AF34" s="1"/>
  <c r="AB31"/>
  <c r="AB34" s="1"/>
  <c r="AF27"/>
  <c r="AB27"/>
  <c r="AF26"/>
  <c r="AF25"/>
  <c r="AD25" s="1"/>
  <c r="AC25"/>
  <c r="AF24"/>
  <c r="AD24" s="1"/>
  <c r="AC24"/>
  <c r="AF23"/>
  <c r="AF28" s="1"/>
  <c r="AC23"/>
  <c r="AC28" s="1"/>
  <c r="AG21"/>
  <c r="AI19"/>
  <c r="AF19"/>
  <c r="AD19" s="1"/>
  <c r="AC19"/>
  <c r="AF18"/>
  <c r="AD18" s="1"/>
  <c r="AC18"/>
  <c r="AF17"/>
  <c r="AD17" s="1"/>
  <c r="AC17"/>
  <c r="AF16"/>
  <c r="AD16" s="1"/>
  <c r="AC16"/>
  <c r="AF15"/>
  <c r="AC15"/>
  <c r="AB15"/>
  <c r="AD15" s="1"/>
  <c r="AF14"/>
  <c r="AF20" s="1"/>
  <c r="AC14"/>
  <c r="AC20" s="1"/>
  <c r="AF9"/>
  <c r="AB9" s="1"/>
  <c r="AD9" s="1"/>
  <c r="AC9"/>
  <c r="AF8"/>
  <c r="AB8" s="1"/>
  <c r="AC8"/>
  <c r="AC10" s="1"/>
  <c r="AA3"/>
  <c r="E82"/>
  <c r="C82"/>
  <c r="C83" s="1"/>
  <c r="P68"/>
  <c r="R68" s="1"/>
  <c r="E68"/>
  <c r="H68" s="1"/>
  <c r="P67"/>
  <c r="K67"/>
  <c r="E67"/>
  <c r="H67" s="1"/>
  <c r="E65"/>
  <c r="H65" s="1"/>
  <c r="P64"/>
  <c r="R64" s="1"/>
  <c r="J64"/>
  <c r="I64"/>
  <c r="F64"/>
  <c r="E64"/>
  <c r="H64" s="1"/>
  <c r="B64"/>
  <c r="R63"/>
  <c r="P63"/>
  <c r="J63"/>
  <c r="I63"/>
  <c r="H63"/>
  <c r="E63"/>
  <c r="J60"/>
  <c r="J69" s="1"/>
  <c r="I60"/>
  <c r="I69" s="1"/>
  <c r="R59"/>
  <c r="P59"/>
  <c r="L59"/>
  <c r="E59"/>
  <c r="H59" s="1"/>
  <c r="P57"/>
  <c r="R57" s="1"/>
  <c r="E57"/>
  <c r="H57" s="1"/>
  <c r="P56"/>
  <c r="R56" s="1"/>
  <c r="E56"/>
  <c r="H56" s="1"/>
  <c r="P55"/>
  <c r="R55" s="1"/>
  <c r="F55"/>
  <c r="D55"/>
  <c r="D66" s="1"/>
  <c r="E66" s="1"/>
  <c r="H66" s="1"/>
  <c r="P54"/>
  <c r="R54" s="1"/>
  <c r="M54"/>
  <c r="D54"/>
  <c r="E54" s="1"/>
  <c r="H54" s="1"/>
  <c r="P53"/>
  <c r="R53" s="1"/>
  <c r="F53"/>
  <c r="E53"/>
  <c r="H53" s="1"/>
  <c r="P52"/>
  <c r="R52" s="1"/>
  <c r="M52"/>
  <c r="L52"/>
  <c r="E52"/>
  <c r="H52" s="1"/>
  <c r="P51"/>
  <c r="R51" s="1"/>
  <c r="H51"/>
  <c r="G51"/>
  <c r="G53" s="1"/>
  <c r="O44"/>
  <c r="N44"/>
  <c r="M44"/>
  <c r="M42"/>
  <c r="D42"/>
  <c r="B42"/>
  <c r="N40"/>
  <c r="N42" s="1"/>
  <c r="M40"/>
  <c r="O40" s="1"/>
  <c r="O42" s="1"/>
  <c r="H40"/>
  <c r="D40"/>
  <c r="C40"/>
  <c r="C42" s="1"/>
  <c r="H39"/>
  <c r="H37"/>
  <c r="Q34"/>
  <c r="F34"/>
  <c r="O33"/>
  <c r="N33"/>
  <c r="M33"/>
  <c r="D33"/>
  <c r="C33"/>
  <c r="B33"/>
  <c r="O32"/>
  <c r="D32"/>
  <c r="O31"/>
  <c r="O34" s="1"/>
  <c r="N31"/>
  <c r="N34" s="1"/>
  <c r="M31"/>
  <c r="M34" s="1"/>
  <c r="B31"/>
  <c r="C31" s="1"/>
  <c r="C34" s="1"/>
  <c r="M27"/>
  <c r="F27"/>
  <c r="B27" s="1"/>
  <c r="Q26"/>
  <c r="I26"/>
  <c r="O25"/>
  <c r="N25"/>
  <c r="M25"/>
  <c r="I25"/>
  <c r="F25"/>
  <c r="D25" s="1"/>
  <c r="C25"/>
  <c r="Q24"/>
  <c r="Q28" s="1"/>
  <c r="N24"/>
  <c r="I24"/>
  <c r="F24"/>
  <c r="D24"/>
  <c r="C24"/>
  <c r="B24"/>
  <c r="O23"/>
  <c r="N23"/>
  <c r="N28" s="1"/>
  <c r="M23"/>
  <c r="I23"/>
  <c r="F23"/>
  <c r="F28" s="1"/>
  <c r="D23"/>
  <c r="D28" s="1"/>
  <c r="C23"/>
  <c r="C28" s="1"/>
  <c r="B23"/>
  <c r="R21"/>
  <c r="H21"/>
  <c r="F19"/>
  <c r="Q19" s="1"/>
  <c r="D19"/>
  <c r="C19"/>
  <c r="B19"/>
  <c r="Q18"/>
  <c r="O18"/>
  <c r="N18"/>
  <c r="M18"/>
  <c r="I18"/>
  <c r="D18"/>
  <c r="C18"/>
  <c r="B18"/>
  <c r="O17"/>
  <c r="N17"/>
  <c r="M17"/>
  <c r="L17"/>
  <c r="F17"/>
  <c r="D17"/>
  <c r="C17"/>
  <c r="B17"/>
  <c r="O16"/>
  <c r="N16"/>
  <c r="M16"/>
  <c r="D16"/>
  <c r="C16"/>
  <c r="B16"/>
  <c r="O15"/>
  <c r="N15"/>
  <c r="C15"/>
  <c r="B15"/>
  <c r="D15" s="1"/>
  <c r="O14"/>
  <c r="N14"/>
  <c r="M14"/>
  <c r="F14"/>
  <c r="F20" s="1"/>
  <c r="H20" s="1"/>
  <c r="D14"/>
  <c r="C14"/>
  <c r="C20" s="1"/>
  <c r="B14"/>
  <c r="B20" s="1"/>
  <c r="I13"/>
  <c r="J13" s="1"/>
  <c r="I12"/>
  <c r="Q10"/>
  <c r="Q70" s="1"/>
  <c r="N10"/>
  <c r="F10"/>
  <c r="N9"/>
  <c r="M9"/>
  <c r="O9" s="1"/>
  <c r="C9"/>
  <c r="B9"/>
  <c r="D9" s="1"/>
  <c r="N8"/>
  <c r="M8"/>
  <c r="M10" s="1"/>
  <c r="C8"/>
  <c r="C10" s="1"/>
  <c r="B8"/>
  <c r="B10" s="1"/>
  <c r="L3"/>
  <c r="AA24" i="33" l="1"/>
  <c r="Z25"/>
  <c r="AC52"/>
  <c r="AC53"/>
  <c r="AC54"/>
  <c r="AC55"/>
  <c r="AC56"/>
  <c r="AK10"/>
  <c r="AA19"/>
  <c r="AA23"/>
  <c r="AA8"/>
  <c r="AA10" s="1"/>
  <c r="AA25"/>
  <c r="AD34"/>
  <c r="AC57"/>
  <c r="AC63"/>
  <c r="AC65"/>
  <c r="AA15"/>
  <c r="AA16"/>
  <c r="AA17"/>
  <c r="AA18"/>
  <c r="AA28"/>
  <c r="Z34"/>
  <c r="AD70"/>
  <c r="Z58"/>
  <c r="Z60" s="1"/>
  <c r="Z69" s="1"/>
  <c r="AC49"/>
  <c r="AB20"/>
  <c r="AH10"/>
  <c r="AD20"/>
  <c r="AD36" s="1"/>
  <c r="AB31"/>
  <c r="AB34" s="1"/>
  <c r="AA33"/>
  <c r="Z8"/>
  <c r="Z14"/>
  <c r="Z16"/>
  <c r="Z17"/>
  <c r="Z18"/>
  <c r="Z19"/>
  <c r="Z23"/>
  <c r="AB23"/>
  <c r="AB28" s="1"/>
  <c r="Z24"/>
  <c r="AA31"/>
  <c r="AA34" s="1"/>
  <c r="AB10" i="31"/>
  <c r="AD8"/>
  <c r="AD10" s="1"/>
  <c r="AD33"/>
  <c r="AC33"/>
  <c r="AG20"/>
  <c r="AG22" s="1"/>
  <c r="AF36"/>
  <c r="AF10"/>
  <c r="AF70" s="1"/>
  <c r="AD31"/>
  <c r="AD34" s="1"/>
  <c r="AB14"/>
  <c r="AD14"/>
  <c r="AD20" s="1"/>
  <c r="AB16"/>
  <c r="AB17"/>
  <c r="AB18"/>
  <c r="AB19"/>
  <c r="AB23"/>
  <c r="AD23"/>
  <c r="AD28" s="1"/>
  <c r="AD36" s="1"/>
  <c r="AD43" s="1"/>
  <c r="AD45" s="1"/>
  <c r="AD47" s="1"/>
  <c r="AD49" s="1"/>
  <c r="AD58" s="1"/>
  <c r="AD60" s="1"/>
  <c r="AD69" s="1"/>
  <c r="AB24"/>
  <c r="AB25"/>
  <c r="AC31"/>
  <c r="AC34" s="1"/>
  <c r="AC36" s="1"/>
  <c r="AC43" s="1"/>
  <c r="AC45" s="1"/>
  <c r="AC47" s="1"/>
  <c r="AC49" s="1"/>
  <c r="AC58" s="1"/>
  <c r="AC60" s="1"/>
  <c r="AC69" s="1"/>
  <c r="N19"/>
  <c r="Q20"/>
  <c r="R20" s="1"/>
  <c r="R22" s="1"/>
  <c r="O19"/>
  <c r="M19"/>
  <c r="M20" s="1"/>
  <c r="D20"/>
  <c r="O20"/>
  <c r="C36"/>
  <c r="C43" s="1"/>
  <c r="C45" s="1"/>
  <c r="C47" s="1"/>
  <c r="C49" s="1"/>
  <c r="C58" s="1"/>
  <c r="C60" s="1"/>
  <c r="C69" s="1"/>
  <c r="F36"/>
  <c r="N20"/>
  <c r="H22"/>
  <c r="N36"/>
  <c r="N43" s="1"/>
  <c r="N45" s="1"/>
  <c r="N49" s="1"/>
  <c r="N58" s="1"/>
  <c r="N60" s="1"/>
  <c r="N69" s="1"/>
  <c r="Q36"/>
  <c r="D31"/>
  <c r="D34" s="1"/>
  <c r="D36" s="1"/>
  <c r="D43" s="1"/>
  <c r="D45" s="1"/>
  <c r="D47" s="1"/>
  <c r="D49" s="1"/>
  <c r="D58" s="1"/>
  <c r="D60" s="1"/>
  <c r="D69" s="1"/>
  <c r="B34"/>
  <c r="F70"/>
  <c r="O8"/>
  <c r="O10" s="1"/>
  <c r="D8"/>
  <c r="D10" s="1"/>
  <c r="M24"/>
  <c r="M28" s="1"/>
  <c r="M36" s="1"/>
  <c r="M43" s="1"/>
  <c r="M45" s="1"/>
  <c r="M49" s="1"/>
  <c r="O24"/>
  <c r="O28" s="1"/>
  <c r="O36" s="1"/>
  <c r="O43" s="1"/>
  <c r="O45" s="1"/>
  <c r="O49" s="1"/>
  <c r="O58" s="1"/>
  <c r="O60" s="1"/>
  <c r="O69" s="1"/>
  <c r="B25"/>
  <c r="B28" s="1"/>
  <c r="B36" s="1"/>
  <c r="B43" s="1"/>
  <c r="B45" s="1"/>
  <c r="B47" s="1"/>
  <c r="B49" s="1"/>
  <c r="E55"/>
  <c r="H55" s="1"/>
  <c r="AA20" i="33" l="1"/>
  <c r="AA36" s="1"/>
  <c r="AA43" s="1"/>
  <c r="Z20"/>
  <c r="AB8"/>
  <c r="AB10" s="1"/>
  <c r="AB36" s="1"/>
  <c r="AB43" s="1"/>
  <c r="Z10"/>
  <c r="AD39"/>
  <c r="AC58"/>
  <c r="AC60" s="1"/>
  <c r="AC69" s="1"/>
  <c r="Z28"/>
  <c r="AB28" i="31"/>
  <c r="AB36" s="1"/>
  <c r="AB43" s="1"/>
  <c r="AB45" s="1"/>
  <c r="AB47" s="1"/>
  <c r="AB49" s="1"/>
  <c r="AB20"/>
  <c r="E49"/>
  <c r="B58"/>
  <c r="B60" s="1"/>
  <c r="B69" s="1"/>
  <c r="P49"/>
  <c r="M58"/>
  <c r="M60" s="1"/>
  <c r="M69" s="1"/>
  <c r="AD42" i="33" l="1"/>
  <c r="AD43"/>
  <c r="AD49" s="1"/>
  <c r="AD58" s="1"/>
  <c r="AD60" s="1"/>
  <c r="AD69" s="1"/>
  <c r="AD71" s="1"/>
  <c r="AD72" s="1"/>
  <c r="Z36"/>
  <c r="Z43" s="1"/>
  <c r="AE49" i="31"/>
  <c r="AB58"/>
  <c r="AB60" s="1"/>
  <c r="AB69" s="1"/>
  <c r="P58"/>
  <c r="Q39"/>
  <c r="E58"/>
  <c r="F39"/>
  <c r="AE58" l="1"/>
  <c r="AE60" s="1"/>
  <c r="AE69" s="1"/>
  <c r="AF39"/>
  <c r="Q42"/>
  <c r="Q43"/>
  <c r="Q49" s="1"/>
  <c r="P60"/>
  <c r="F42"/>
  <c r="F43"/>
  <c r="F49" s="1"/>
  <c r="E60"/>
  <c r="AF43" l="1"/>
  <c r="AF49" s="1"/>
  <c r="AF58" s="1"/>
  <c r="AF60" s="1"/>
  <c r="AF69" s="1"/>
  <c r="AF71" s="1"/>
  <c r="AF72" s="1"/>
  <c r="AF42"/>
  <c r="F58"/>
  <c r="H49"/>
  <c r="P69"/>
  <c r="E69"/>
  <c r="Q58"/>
  <c r="R49"/>
  <c r="Q60" l="1"/>
  <c r="R58"/>
  <c r="F60"/>
  <c r="H58"/>
  <c r="F69" l="1"/>
  <c r="F71" s="1"/>
  <c r="H60"/>
  <c r="H69" s="1"/>
  <c r="Q69"/>
  <c r="Q71" s="1"/>
  <c r="R60"/>
  <c r="R69" s="1"/>
  <c r="Q72" l="1"/>
  <c r="F72"/>
  <c r="H73"/>
  <c r="H72"/>
  <c r="I72"/>
  <c r="J72"/>
  <c r="B85" i="30" l="1"/>
  <c r="B86" s="1"/>
  <c r="Q82"/>
  <c r="F82"/>
  <c r="F84" s="1"/>
  <c r="AF68"/>
  <c r="AD68"/>
  <c r="AC68"/>
  <c r="AB68"/>
  <c r="AE68" s="1"/>
  <c r="P68"/>
  <c r="R68" s="1"/>
  <c r="E68"/>
  <c r="H68" s="1"/>
  <c r="AF67"/>
  <c r="AD67"/>
  <c r="AC67"/>
  <c r="AB67"/>
  <c r="AE67" s="1"/>
  <c r="P67"/>
  <c r="K67"/>
  <c r="H67"/>
  <c r="E67"/>
  <c r="AD66"/>
  <c r="AC66"/>
  <c r="AB66"/>
  <c r="AE66" s="1"/>
  <c r="F66"/>
  <c r="H66" s="1"/>
  <c r="E66"/>
  <c r="AF65"/>
  <c r="AD65"/>
  <c r="AC65"/>
  <c r="AB65"/>
  <c r="AE65" s="1"/>
  <c r="E65"/>
  <c r="H65" s="1"/>
  <c r="AD64"/>
  <c r="AC64"/>
  <c r="R64"/>
  <c r="P64"/>
  <c r="J64"/>
  <c r="I64"/>
  <c r="F64"/>
  <c r="AF64" s="1"/>
  <c r="E64"/>
  <c r="H64" s="1"/>
  <c r="B64"/>
  <c r="AB64" s="1"/>
  <c r="AE64" s="1"/>
  <c r="AD63"/>
  <c r="AC63"/>
  <c r="P63"/>
  <c r="R63" s="1"/>
  <c r="J63"/>
  <c r="I63"/>
  <c r="F63"/>
  <c r="AF63" s="1"/>
  <c r="B63"/>
  <c r="E63" s="1"/>
  <c r="H63" s="1"/>
  <c r="J60"/>
  <c r="J69" s="1"/>
  <c r="I60"/>
  <c r="I69" s="1"/>
  <c r="AF59"/>
  <c r="AB59"/>
  <c r="AE59" s="1"/>
  <c r="P59"/>
  <c r="R59" s="1"/>
  <c r="L59"/>
  <c r="E59"/>
  <c r="H59" s="1"/>
  <c r="AD57"/>
  <c r="AC57"/>
  <c r="P57"/>
  <c r="R57" s="1"/>
  <c r="F57"/>
  <c r="AF57" s="1"/>
  <c r="B57"/>
  <c r="AB57" s="1"/>
  <c r="AE57" s="1"/>
  <c r="AF56"/>
  <c r="AD56"/>
  <c r="AC56"/>
  <c r="R56"/>
  <c r="P56"/>
  <c r="B56"/>
  <c r="AB56" s="1"/>
  <c r="AE56" s="1"/>
  <c r="AC55"/>
  <c r="R55"/>
  <c r="P55"/>
  <c r="F55"/>
  <c r="AF55" s="1"/>
  <c r="D55"/>
  <c r="AD55" s="1"/>
  <c r="B55"/>
  <c r="E55" s="1"/>
  <c r="H55" s="1"/>
  <c r="AF54"/>
  <c r="AC54"/>
  <c r="AB54"/>
  <c r="P54"/>
  <c r="R54" s="1"/>
  <c r="M54"/>
  <c r="D54"/>
  <c r="E54" s="1"/>
  <c r="H54" s="1"/>
  <c r="AD53"/>
  <c r="AC53"/>
  <c r="AE53" s="1"/>
  <c r="AB53"/>
  <c r="R53"/>
  <c r="P53"/>
  <c r="F53"/>
  <c r="AF53" s="1"/>
  <c r="E53"/>
  <c r="H53" s="1"/>
  <c r="AD52"/>
  <c r="AC52"/>
  <c r="AB52"/>
  <c r="AE52" s="1"/>
  <c r="P52"/>
  <c r="R52" s="1"/>
  <c r="M52"/>
  <c r="L52"/>
  <c r="E52"/>
  <c r="H52" s="1"/>
  <c r="P51"/>
  <c r="R51" s="1"/>
  <c r="H51"/>
  <c r="O44"/>
  <c r="N44"/>
  <c r="M44"/>
  <c r="J44"/>
  <c r="AC42"/>
  <c r="AB42"/>
  <c r="C42"/>
  <c r="B42"/>
  <c r="AF41"/>
  <c r="AF40"/>
  <c r="AD40"/>
  <c r="AD42" s="1"/>
  <c r="AC40"/>
  <c r="M40"/>
  <c r="M42" s="1"/>
  <c r="H40"/>
  <c r="D40"/>
  <c r="D42" s="1"/>
  <c r="C40"/>
  <c r="H39"/>
  <c r="H37"/>
  <c r="J35"/>
  <c r="Q34"/>
  <c r="N34"/>
  <c r="F34"/>
  <c r="AF33"/>
  <c r="AB33" s="1"/>
  <c r="O33"/>
  <c r="N33"/>
  <c r="M33"/>
  <c r="C33"/>
  <c r="B33"/>
  <c r="D33" s="1"/>
  <c r="AF32"/>
  <c r="O32"/>
  <c r="AF31"/>
  <c r="AF34" s="1"/>
  <c r="O31"/>
  <c r="O34" s="1"/>
  <c r="N31"/>
  <c r="M31"/>
  <c r="M34" s="1"/>
  <c r="C31"/>
  <c r="C34" s="1"/>
  <c r="B31"/>
  <c r="B34" s="1"/>
  <c r="AF27"/>
  <c r="AB27" s="1"/>
  <c r="M27"/>
  <c r="F27"/>
  <c r="B27"/>
  <c r="Q26"/>
  <c r="AF26" s="1"/>
  <c r="I26"/>
  <c r="O25"/>
  <c r="N25"/>
  <c r="M25"/>
  <c r="I25"/>
  <c r="F25"/>
  <c r="D25" s="1"/>
  <c r="C25"/>
  <c r="Q24"/>
  <c r="O24" s="1"/>
  <c r="N24"/>
  <c r="I24"/>
  <c r="F24"/>
  <c r="D24"/>
  <c r="C24"/>
  <c r="B24"/>
  <c r="O23"/>
  <c r="O28" s="1"/>
  <c r="N23"/>
  <c r="N28" s="1"/>
  <c r="M23"/>
  <c r="I23"/>
  <c r="F23"/>
  <c r="AF23" s="1"/>
  <c r="D23"/>
  <c r="D28" s="1"/>
  <c r="C23"/>
  <c r="C28" s="1"/>
  <c r="B23"/>
  <c r="AG21"/>
  <c r="R21"/>
  <c r="H21"/>
  <c r="AI19"/>
  <c r="F19"/>
  <c r="D19"/>
  <c r="C19"/>
  <c r="B19"/>
  <c r="Q18"/>
  <c r="O18"/>
  <c r="N18"/>
  <c r="M18"/>
  <c r="I18"/>
  <c r="D18"/>
  <c r="C18"/>
  <c r="B18"/>
  <c r="O17"/>
  <c r="N17"/>
  <c r="M17"/>
  <c r="L17"/>
  <c r="F17"/>
  <c r="AF17" s="1"/>
  <c r="D17"/>
  <c r="C17"/>
  <c r="B17"/>
  <c r="AF16"/>
  <c r="AD16"/>
  <c r="AC16"/>
  <c r="AB16"/>
  <c r="O16"/>
  <c r="N16"/>
  <c r="M16"/>
  <c r="J16"/>
  <c r="D16"/>
  <c r="C16"/>
  <c r="B16"/>
  <c r="AF15"/>
  <c r="O15"/>
  <c r="N15"/>
  <c r="B15"/>
  <c r="AB15" s="1"/>
  <c r="O14"/>
  <c r="N14"/>
  <c r="M14"/>
  <c r="F14"/>
  <c r="AF14" s="1"/>
  <c r="C14"/>
  <c r="Q10"/>
  <c r="Q70" s="1"/>
  <c r="N10"/>
  <c r="F10"/>
  <c r="F70" s="1"/>
  <c r="AF9"/>
  <c r="AB9" s="1"/>
  <c r="AD9" s="1"/>
  <c r="AC9"/>
  <c r="N9"/>
  <c r="M9"/>
  <c r="O9" s="1"/>
  <c r="C9"/>
  <c r="C10" s="1"/>
  <c r="B9"/>
  <c r="D9" s="1"/>
  <c r="AF8"/>
  <c r="AB8" s="1"/>
  <c r="AC8"/>
  <c r="AC10" s="1"/>
  <c r="N8"/>
  <c r="M8"/>
  <c r="M10" s="1"/>
  <c r="F8"/>
  <c r="C8"/>
  <c r="B8"/>
  <c r="B10" s="1"/>
  <c r="M5"/>
  <c r="AA3"/>
  <c r="L3"/>
  <c r="AC14" l="1"/>
  <c r="AD14"/>
  <c r="AB14"/>
  <c r="AD15"/>
  <c r="AC15"/>
  <c r="AC17"/>
  <c r="AD17"/>
  <c r="AB17"/>
  <c r="AC23"/>
  <c r="AD23"/>
  <c r="AB23"/>
  <c r="AB10"/>
  <c r="AD8"/>
  <c r="AD10" s="1"/>
  <c r="AD33"/>
  <c r="AC33"/>
  <c r="O8"/>
  <c r="O10" s="1"/>
  <c r="AF10"/>
  <c r="D15"/>
  <c r="F20"/>
  <c r="AF24"/>
  <c r="AF28" s="1"/>
  <c r="AF25"/>
  <c r="F28"/>
  <c r="F36" s="1"/>
  <c r="Q28"/>
  <c r="O40"/>
  <c r="O42" s="1"/>
  <c r="AD54"/>
  <c r="AE54" s="1"/>
  <c r="AB55"/>
  <c r="AE55" s="1"/>
  <c r="E56"/>
  <c r="H56" s="1"/>
  <c r="E57"/>
  <c r="H57" s="1"/>
  <c r="AB63"/>
  <c r="AE63" s="1"/>
  <c r="AF66"/>
  <c r="D8"/>
  <c r="D10" s="1"/>
  <c r="B14"/>
  <c r="B20" s="1"/>
  <c r="D14"/>
  <c r="D20" s="1"/>
  <c r="D36" s="1"/>
  <c r="D43" s="1"/>
  <c r="D45" s="1"/>
  <c r="D47" s="1"/>
  <c r="D49" s="1"/>
  <c r="D58" s="1"/>
  <c r="D60" s="1"/>
  <c r="D69" s="1"/>
  <c r="C15"/>
  <c r="C20" s="1"/>
  <c r="C36" s="1"/>
  <c r="C43" s="1"/>
  <c r="C45" s="1"/>
  <c r="C47" s="1"/>
  <c r="C49" s="1"/>
  <c r="C58" s="1"/>
  <c r="C60" s="1"/>
  <c r="C69" s="1"/>
  <c r="AF18"/>
  <c r="Q19"/>
  <c r="Q20" s="1"/>
  <c r="R20" s="1"/>
  <c r="R22" s="1"/>
  <c r="M24"/>
  <c r="M28" s="1"/>
  <c r="B25"/>
  <c r="B28" s="1"/>
  <c r="B36" s="1"/>
  <c r="B43" s="1"/>
  <c r="B45" s="1"/>
  <c r="B47" s="1"/>
  <c r="B49" s="1"/>
  <c r="D31"/>
  <c r="D34" s="1"/>
  <c r="AB31"/>
  <c r="N40"/>
  <c r="N42" s="1"/>
  <c r="E49" l="1"/>
  <c r="B58"/>
  <c r="B60" s="1"/>
  <c r="B69" s="1"/>
  <c r="AB34"/>
  <c r="AD31"/>
  <c r="AD34" s="1"/>
  <c r="AC31"/>
  <c r="AC34" s="1"/>
  <c r="AC18"/>
  <c r="AD18"/>
  <c r="AB18"/>
  <c r="AD25"/>
  <c r="AB25"/>
  <c r="AC25"/>
  <c r="AF70"/>
  <c r="Q36"/>
  <c r="H20"/>
  <c r="H22" s="1"/>
  <c r="N19"/>
  <c r="N20" s="1"/>
  <c r="N36" s="1"/>
  <c r="N43" s="1"/>
  <c r="N45" s="1"/>
  <c r="N49" s="1"/>
  <c r="N58" s="1"/>
  <c r="N60" s="1"/>
  <c r="N69" s="1"/>
  <c r="O19"/>
  <c r="O20" s="1"/>
  <c r="O36" s="1"/>
  <c r="O43" s="1"/>
  <c r="O45" s="1"/>
  <c r="O49" s="1"/>
  <c r="O58" s="1"/>
  <c r="O60" s="1"/>
  <c r="O69" s="1"/>
  <c r="M19"/>
  <c r="M20" s="1"/>
  <c r="M36" s="1"/>
  <c r="M43" s="1"/>
  <c r="M45" s="1"/>
  <c r="M49" s="1"/>
  <c r="AD24"/>
  <c r="AB24"/>
  <c r="AB28" s="1"/>
  <c r="AC24"/>
  <c r="AF19"/>
  <c r="AD28"/>
  <c r="AC28"/>
  <c r="AF20"/>
  <c r="AG20" s="1"/>
  <c r="AG22" s="1"/>
  <c r="P49" l="1"/>
  <c r="M58"/>
  <c r="M60" s="1"/>
  <c r="M69" s="1"/>
  <c r="AC19"/>
  <c r="AC20" s="1"/>
  <c r="AC36" s="1"/>
  <c r="AC43" s="1"/>
  <c r="AC45" s="1"/>
  <c r="AC47" s="1"/>
  <c r="AC49" s="1"/>
  <c r="AC58" s="1"/>
  <c r="AC60" s="1"/>
  <c r="AC69" s="1"/>
  <c r="AD19"/>
  <c r="AD20" s="1"/>
  <c r="AB19"/>
  <c r="AB20" s="1"/>
  <c r="AB36" s="1"/>
  <c r="AB43" s="1"/>
  <c r="AB45" s="1"/>
  <c r="AB47" s="1"/>
  <c r="AB49" s="1"/>
  <c r="E58"/>
  <c r="F39"/>
  <c r="AD36"/>
  <c r="AD43" s="1"/>
  <c r="AD45" s="1"/>
  <c r="AD47" s="1"/>
  <c r="AD49" s="1"/>
  <c r="AD58" s="1"/>
  <c r="AD60" s="1"/>
  <c r="AD69" s="1"/>
  <c r="AF36"/>
  <c r="AE49" l="1"/>
  <c r="AB58"/>
  <c r="AB60" s="1"/>
  <c r="AB69" s="1"/>
  <c r="P58"/>
  <c r="Q39"/>
  <c r="F42"/>
  <c r="F43"/>
  <c r="F49" s="1"/>
  <c r="E60"/>
  <c r="E69" l="1"/>
  <c r="F58"/>
  <c r="H49"/>
  <c r="Q42"/>
  <c r="Q43"/>
  <c r="Q49" s="1"/>
  <c r="P60"/>
  <c r="AE58"/>
  <c r="AE60" s="1"/>
  <c r="AE69" s="1"/>
  <c r="AF39"/>
  <c r="AF42" l="1"/>
  <c r="AF43"/>
  <c r="AF49" s="1"/>
  <c r="AF58" s="1"/>
  <c r="AF60" s="1"/>
  <c r="AF69" s="1"/>
  <c r="AF71" s="1"/>
  <c r="AF72" s="1"/>
  <c r="P69"/>
  <c r="F60"/>
  <c r="H58"/>
  <c r="Q58"/>
  <c r="R49"/>
  <c r="Q60" l="1"/>
  <c r="R58"/>
  <c r="F69"/>
  <c r="F71" s="1"/>
  <c r="H60"/>
  <c r="H69" s="1"/>
  <c r="F91" l="1"/>
  <c r="E80"/>
  <c r="G71"/>
  <c r="F72"/>
  <c r="Q69"/>
  <c r="Q71" s="1"/>
  <c r="R60"/>
  <c r="R69" s="1"/>
  <c r="H72"/>
  <c r="H73"/>
  <c r="I72"/>
  <c r="J72"/>
  <c r="P80" l="1"/>
  <c r="Q91"/>
  <c r="R71"/>
  <c r="Q72"/>
  <c r="I74"/>
  <c r="J64" i="10" l="1"/>
  <c r="J63"/>
  <c r="J60"/>
  <c r="I64"/>
  <c r="I63"/>
  <c r="I60"/>
  <c r="B64"/>
  <c r="B63"/>
  <c r="F63"/>
  <c r="R21" l="1"/>
  <c r="B49"/>
  <c r="B45"/>
  <c r="C45"/>
  <c r="D49"/>
  <c r="D45"/>
  <c r="B31"/>
  <c r="H21"/>
  <c r="B66" l="1"/>
  <c r="F66" l="1"/>
  <c r="F55"/>
  <c r="D55"/>
  <c r="B15"/>
  <c r="F25" l="1"/>
  <c r="F23"/>
  <c r="F19"/>
  <c r="F17"/>
  <c r="F14"/>
  <c r="F53"/>
  <c r="D54"/>
  <c r="AA3"/>
  <c r="Q24" l="1"/>
  <c r="E59"/>
  <c r="I26" l="1"/>
  <c r="I25"/>
  <c r="I24"/>
  <c r="I23"/>
  <c r="I18"/>
  <c r="AI19"/>
  <c r="AG21"/>
  <c r="AF59"/>
  <c r="AB59"/>
  <c r="AB31"/>
  <c r="AB15"/>
  <c r="J44" l="1"/>
  <c r="J35"/>
  <c r="AF24"/>
  <c r="J16" l="1"/>
  <c r="M5" l="1"/>
  <c r="F27" l="1"/>
  <c r="P64" l="1"/>
  <c r="P63"/>
  <c r="AF68" l="1"/>
  <c r="AF67"/>
  <c r="AF66"/>
  <c r="AF65"/>
  <c r="AF64"/>
  <c r="AF63"/>
  <c r="AD68"/>
  <c r="AC68"/>
  <c r="AB68"/>
  <c r="AD67"/>
  <c r="AC67"/>
  <c r="AB67"/>
  <c r="AD66"/>
  <c r="AC66"/>
  <c r="AB66"/>
  <c r="AD65"/>
  <c r="AC65"/>
  <c r="AB65"/>
  <c r="AD64"/>
  <c r="AC64"/>
  <c r="AB64"/>
  <c r="AE64" s="1"/>
  <c r="AD63"/>
  <c r="AC63"/>
  <c r="AB63"/>
  <c r="AE63" s="1"/>
  <c r="AD57"/>
  <c r="AC57"/>
  <c r="AB57"/>
  <c r="AD56"/>
  <c r="AC56"/>
  <c r="AB56"/>
  <c r="AD55"/>
  <c r="AC55"/>
  <c r="AB55"/>
  <c r="AD54"/>
  <c r="AC54"/>
  <c r="AB54"/>
  <c r="AD53"/>
  <c r="AC53"/>
  <c r="AB53"/>
  <c r="AD52"/>
  <c r="AC52"/>
  <c r="AF57"/>
  <c r="AF56"/>
  <c r="AF55"/>
  <c r="AF54"/>
  <c r="AF53"/>
  <c r="AF41"/>
  <c r="AF40"/>
  <c r="AF33"/>
  <c r="AB33" s="1"/>
  <c r="AC33" s="1"/>
  <c r="AF32"/>
  <c r="AF31"/>
  <c r="AF27"/>
  <c r="AF26"/>
  <c r="AF25"/>
  <c r="AD25" s="1"/>
  <c r="AF23"/>
  <c r="AC23" s="1"/>
  <c r="AF17"/>
  <c r="AF16"/>
  <c r="AD16" s="1"/>
  <c r="AF15"/>
  <c r="AF14"/>
  <c r="AC14" s="1"/>
  <c r="AF9"/>
  <c r="AC9" s="1"/>
  <c r="AF8"/>
  <c r="AB8" s="1"/>
  <c r="AE68"/>
  <c r="AE67"/>
  <c r="AE66"/>
  <c r="AE65"/>
  <c r="AE59"/>
  <c r="AE57"/>
  <c r="AE56"/>
  <c r="AE55"/>
  <c r="AE54"/>
  <c r="AE53"/>
  <c r="AB42"/>
  <c r="AD40"/>
  <c r="AD42" s="1"/>
  <c r="AC40"/>
  <c r="AC42" s="1"/>
  <c r="AF34"/>
  <c r="AC31"/>
  <c r="AB27"/>
  <c r="AC25"/>
  <c r="AD23"/>
  <c r="AD17"/>
  <c r="AC17"/>
  <c r="AC15"/>
  <c r="AD15"/>
  <c r="AB23" l="1"/>
  <c r="AC16"/>
  <c r="AB9"/>
  <c r="AD9" s="1"/>
  <c r="AC8"/>
  <c r="AC10" s="1"/>
  <c r="AB16"/>
  <c r="AB34"/>
  <c r="AF10"/>
  <c r="AF70" s="1"/>
  <c r="AC34"/>
  <c r="AD8"/>
  <c r="AD10" s="1"/>
  <c r="AD33"/>
  <c r="AB14"/>
  <c r="AD14"/>
  <c r="AB17"/>
  <c r="AB25"/>
  <c r="AD31"/>
  <c r="AB10" l="1"/>
  <c r="AD34"/>
  <c r="B33" l="1"/>
  <c r="C33" l="1"/>
  <c r="D33" l="1"/>
  <c r="E63" l="1"/>
  <c r="B14" l="1"/>
  <c r="B23"/>
  <c r="B24"/>
  <c r="B16"/>
  <c r="B17"/>
  <c r="B18"/>
  <c r="B19"/>
  <c r="C31"/>
  <c r="C34" s="1"/>
  <c r="B34"/>
  <c r="B8"/>
  <c r="D8" s="1"/>
  <c r="B9"/>
  <c r="D9" s="1"/>
  <c r="C23"/>
  <c r="C24"/>
  <c r="C15"/>
  <c r="C16"/>
  <c r="C18"/>
  <c r="C19"/>
  <c r="C8"/>
  <c r="C9"/>
  <c r="C40"/>
  <c r="C42" s="1"/>
  <c r="D23"/>
  <c r="D24"/>
  <c r="D14"/>
  <c r="D15"/>
  <c r="D16"/>
  <c r="D18"/>
  <c r="D19"/>
  <c r="D40"/>
  <c r="M8"/>
  <c r="M9"/>
  <c r="M23"/>
  <c r="M25"/>
  <c r="M27"/>
  <c r="M14"/>
  <c r="M16"/>
  <c r="M17"/>
  <c r="Q18"/>
  <c r="Q19"/>
  <c r="M31"/>
  <c r="M33"/>
  <c r="R64" s="1"/>
  <c r="M40"/>
  <c r="N40" s="1"/>
  <c r="N42" s="1"/>
  <c r="M44"/>
  <c r="N8"/>
  <c r="N9"/>
  <c r="N23"/>
  <c r="N25"/>
  <c r="N14"/>
  <c r="N15"/>
  <c r="N16"/>
  <c r="N17"/>
  <c r="N31"/>
  <c r="N33"/>
  <c r="N44"/>
  <c r="O9"/>
  <c r="O23"/>
  <c r="O25"/>
  <c r="O14"/>
  <c r="O15"/>
  <c r="O16"/>
  <c r="O17"/>
  <c r="O31"/>
  <c r="O32"/>
  <c r="O33"/>
  <c r="O44"/>
  <c r="M52"/>
  <c r="P53"/>
  <c r="M54"/>
  <c r="P54" s="1"/>
  <c r="R54" s="1"/>
  <c r="Q10"/>
  <c r="Q26"/>
  <c r="Q34"/>
  <c r="E56"/>
  <c r="H56" s="1"/>
  <c r="H40"/>
  <c r="H39"/>
  <c r="P51"/>
  <c r="R51" s="1"/>
  <c r="P55"/>
  <c r="P56"/>
  <c r="R56" s="1"/>
  <c r="P57"/>
  <c r="P59"/>
  <c r="R59" s="1"/>
  <c r="P67"/>
  <c r="P68"/>
  <c r="E55"/>
  <c r="H55" s="1"/>
  <c r="E52"/>
  <c r="E53"/>
  <c r="E57"/>
  <c r="H57" s="1"/>
  <c r="H63"/>
  <c r="E64"/>
  <c r="E66"/>
  <c r="E65"/>
  <c r="E67"/>
  <c r="H67" s="1"/>
  <c r="E68"/>
  <c r="H68" s="1"/>
  <c r="F10"/>
  <c r="F34"/>
  <c r="H37"/>
  <c r="L59"/>
  <c r="L52"/>
  <c r="L17"/>
  <c r="H59"/>
  <c r="K67"/>
  <c r="H53"/>
  <c r="H52"/>
  <c r="R57"/>
  <c r="L3"/>
  <c r="B42"/>
  <c r="D42"/>
  <c r="M42"/>
  <c r="H51"/>
  <c r="R55"/>
  <c r="R53"/>
  <c r="R63"/>
  <c r="R68"/>
  <c r="C10"/>
  <c r="F20"/>
  <c r="O40"/>
  <c r="O42" s="1"/>
  <c r="M34"/>
  <c r="B10"/>
  <c r="F28"/>
  <c r="Q70"/>
  <c r="Q28"/>
  <c r="Q20"/>
  <c r="O19"/>
  <c r="O24"/>
  <c r="O28" s="1"/>
  <c r="N18"/>
  <c r="D31"/>
  <c r="D34" s="1"/>
  <c r="D17"/>
  <c r="C17"/>
  <c r="Q83" l="1"/>
  <c r="H20"/>
  <c r="H22" s="1"/>
  <c r="M18"/>
  <c r="AF18"/>
  <c r="P52"/>
  <c r="R52" s="1"/>
  <c r="AB52"/>
  <c r="AE52" s="1"/>
  <c r="AD24"/>
  <c r="AD28" s="1"/>
  <c r="AB24"/>
  <c r="AB28" s="1"/>
  <c r="AC24"/>
  <c r="AC28" s="1"/>
  <c r="AF28"/>
  <c r="M19"/>
  <c r="AF19"/>
  <c r="N19"/>
  <c r="N20" s="1"/>
  <c r="O34"/>
  <c r="H64"/>
  <c r="N34"/>
  <c r="O18"/>
  <c r="O20" s="1"/>
  <c r="F70"/>
  <c r="F83" s="1"/>
  <c r="R20"/>
  <c r="R22" s="1"/>
  <c r="N10"/>
  <c r="F36"/>
  <c r="I69"/>
  <c r="O8"/>
  <c r="O10" s="1"/>
  <c r="M10"/>
  <c r="Q36"/>
  <c r="M20"/>
  <c r="D20"/>
  <c r="H65"/>
  <c r="D10"/>
  <c r="B20"/>
  <c r="H66"/>
  <c r="M24"/>
  <c r="M28" s="1"/>
  <c r="N24"/>
  <c r="N28" s="1"/>
  <c r="E54"/>
  <c r="H54" s="1"/>
  <c r="C14"/>
  <c r="C20" s="1"/>
  <c r="B27"/>
  <c r="B25"/>
  <c r="C25"/>
  <c r="C28" s="1"/>
  <c r="D25"/>
  <c r="D28" s="1"/>
  <c r="AC18" l="1"/>
  <c r="AD18"/>
  <c r="AB18"/>
  <c r="D36"/>
  <c r="AD19"/>
  <c r="AD20" s="1"/>
  <c r="AD36" s="1"/>
  <c r="AD43" s="1"/>
  <c r="AD45" s="1"/>
  <c r="AD47" s="1"/>
  <c r="AD49" s="1"/>
  <c r="AD58" s="1"/>
  <c r="AD60" s="1"/>
  <c r="AD69" s="1"/>
  <c r="AB19"/>
  <c r="AB20" s="1"/>
  <c r="AB36" s="1"/>
  <c r="AB43" s="1"/>
  <c r="AB45" s="1"/>
  <c r="AB47" s="1"/>
  <c r="AB49" s="1"/>
  <c r="AF20"/>
  <c r="AF36" s="1"/>
  <c r="AC19"/>
  <c r="AC20" s="1"/>
  <c r="AC36" s="1"/>
  <c r="AC43" s="1"/>
  <c r="AC45" s="1"/>
  <c r="AC47" s="1"/>
  <c r="AC49" s="1"/>
  <c r="AC58" s="1"/>
  <c r="AC60" s="1"/>
  <c r="AC69" s="1"/>
  <c r="N36"/>
  <c r="N43" s="1"/>
  <c r="N45" s="1"/>
  <c r="O36"/>
  <c r="O43" s="1"/>
  <c r="O45" s="1"/>
  <c r="C36"/>
  <c r="C43" s="1"/>
  <c r="B28"/>
  <c r="B36" s="1"/>
  <c r="M36"/>
  <c r="M43" s="1"/>
  <c r="M45" s="1"/>
  <c r="M49" s="1"/>
  <c r="N49" l="1"/>
  <c r="N58" s="1"/>
  <c r="N60" s="1"/>
  <c r="N69" s="1"/>
  <c r="AG20"/>
  <c r="AG22" s="1"/>
  <c r="O49"/>
  <c r="O58" s="1"/>
  <c r="O60" s="1"/>
  <c r="O69" s="1"/>
  <c r="AB58"/>
  <c r="AB60" s="1"/>
  <c r="AB69" s="1"/>
  <c r="AE49"/>
  <c r="B43"/>
  <c r="D43"/>
  <c r="C47"/>
  <c r="C49" s="1"/>
  <c r="B47" l="1"/>
  <c r="AE58"/>
  <c r="AE60" s="1"/>
  <c r="AE69" s="1"/>
  <c r="AF39"/>
  <c r="D47"/>
  <c r="M58"/>
  <c r="M60" s="1"/>
  <c r="M69" s="1"/>
  <c r="P49"/>
  <c r="P58" s="1"/>
  <c r="C58"/>
  <c r="C60" s="1"/>
  <c r="AF43" l="1"/>
  <c r="AF49" s="1"/>
  <c r="AF58" s="1"/>
  <c r="AF60" s="1"/>
  <c r="AF69" s="1"/>
  <c r="AF71" s="1"/>
  <c r="AF42"/>
  <c r="D58"/>
  <c r="D60" s="1"/>
  <c r="D69" s="1"/>
  <c r="C69"/>
  <c r="Q39"/>
  <c r="Q42" s="1"/>
  <c r="B58"/>
  <c r="B60" s="1"/>
  <c r="P60"/>
  <c r="AF72" l="1"/>
  <c r="AF85" s="1"/>
  <c r="AF84"/>
  <c r="E49"/>
  <c r="F39" s="1"/>
  <c r="B69"/>
  <c r="Q43"/>
  <c r="Q49" s="1"/>
  <c r="P69"/>
  <c r="Q58" l="1"/>
  <c r="E58"/>
  <c r="E60" s="1"/>
  <c r="F42"/>
  <c r="F43"/>
  <c r="F49" l="1"/>
  <c r="F58" s="1"/>
  <c r="R49"/>
  <c r="Q60"/>
  <c r="Q69" s="1"/>
  <c r="Q71" s="1"/>
  <c r="Q84" s="1"/>
  <c r="R58"/>
  <c r="E69"/>
  <c r="H49" l="1"/>
  <c r="R60"/>
  <c r="R69" s="1"/>
  <c r="F60"/>
  <c r="H58"/>
  <c r="Q72"/>
  <c r="Q85" s="1"/>
  <c r="H60" l="1"/>
  <c r="H69" s="1"/>
  <c r="F69"/>
  <c r="F71" s="1"/>
  <c r="F84" s="1"/>
  <c r="G71" l="1"/>
  <c r="I72"/>
  <c r="F72" l="1"/>
  <c r="F85" s="1"/>
  <c r="H73"/>
  <c r="H72"/>
  <c r="J69" l="1"/>
  <c r="J72" s="1"/>
</calcChain>
</file>

<file path=xl/comments1.xml><?xml version="1.0" encoding="utf-8"?>
<comments xmlns="http://schemas.openxmlformats.org/spreadsheetml/2006/main">
  <authors>
    <author>sajordan</author>
  </authors>
  <commentList>
    <comment ref="F14" authorId="0">
      <text>
        <r>
          <rPr>
            <b/>
            <sz val="8"/>
            <color indexed="81"/>
            <rFont val="Tahoma"/>
            <family val="2"/>
          </rPr>
          <t>sajordan:</t>
        </r>
        <r>
          <rPr>
            <sz val="8"/>
            <color indexed="81"/>
            <rFont val="Tahoma"/>
            <family val="2"/>
          </rPr>
          <t xml:space="preserve">
includes Reversal of Flow Through Items
Fed Life FT Fed
Federal ITC Basis Red Fed , AFUDC EQUITY
Debt Gross FT Fed
AFUDC Debt Not Fed
Federal Indirect Cost Ft Fed
AFUDC Flowthrough and Other FLowThrough Reversal See rpt 120 Flowthrough
only Source of Reversal of FLowThru is PTRpt 120
</t>
        </r>
      </text>
    </comment>
    <comment ref="AF14" authorId="0">
      <text>
        <r>
          <rPr>
            <b/>
            <sz val="8"/>
            <color indexed="81"/>
            <rFont val="Tahoma"/>
            <family val="2"/>
          </rPr>
          <t>sajordan:</t>
        </r>
        <r>
          <rPr>
            <sz val="8"/>
            <color indexed="81"/>
            <rFont val="Tahoma"/>
            <family val="2"/>
          </rPr>
          <t xml:space="preserve">
includes Reversal of Flow Through Items
Fed Life FT Fed
Federal ITC Basis Red Fed , AFUDC EQUITY
Debt Gross FT Fed
AFUDC Debt Not Fed
Federal Indirect Cost Ft Fed
AFUDC Flowthrough and Other FLowThrough Reversal See rpt 120 Flowthrough
only Source of Reversal of FLowThru is PTRpt 120
</t>
        </r>
      </text>
    </comment>
    <comment ref="B15" authorId="0">
      <text>
        <r>
          <rPr>
            <b/>
            <sz val="8"/>
            <color indexed="81"/>
            <rFont val="Tahoma"/>
            <family val="2"/>
          </rPr>
          <t xml:space="preserve">sajordan:
</t>
        </r>
        <r>
          <rPr>
            <sz val="8"/>
            <color indexed="81"/>
            <rFont val="Tahoma"/>
            <family val="2"/>
          </rPr>
          <t>Compare to Rpt 51011 State: FAS109 FLOWTHRU and FAS109 ITC
In Rpt 120 this Fed Flow Through minus State Flow Through</t>
        </r>
      </text>
    </comment>
    <comment ref="AB15" authorId="0">
      <text>
        <r>
          <rPr>
            <b/>
            <sz val="8"/>
            <color indexed="81"/>
            <rFont val="Tahoma"/>
            <family val="2"/>
          </rPr>
          <t xml:space="preserve">sajordan:
</t>
        </r>
        <r>
          <rPr>
            <sz val="8"/>
            <color indexed="81"/>
            <rFont val="Tahoma"/>
            <family val="2"/>
          </rPr>
          <t>Compare to Rpt 51011 State: FAS109 FLOWTHRU and FAS109 ITC
In Rpt 120 this Fed Flow Through minus State Flow Through</t>
        </r>
      </text>
    </comment>
    <comment ref="R17" authorId="0">
      <text>
        <r>
          <rPr>
            <b/>
            <sz val="8"/>
            <color indexed="81"/>
            <rFont val="Tahoma"/>
            <family val="2"/>
          </rPr>
          <t>sajordan:</t>
        </r>
        <r>
          <rPr>
            <sz val="8"/>
            <color indexed="81"/>
            <rFont val="Tahoma"/>
            <family val="2"/>
          </rPr>
          <t xml:space="preserve">
Only include club dues</t>
        </r>
      </text>
    </comment>
    <comment ref="AG17" authorId="0">
      <text>
        <r>
          <rPr>
            <b/>
            <sz val="8"/>
            <color indexed="81"/>
            <rFont val="Tahoma"/>
            <family val="2"/>
          </rPr>
          <t>sajordan:</t>
        </r>
        <r>
          <rPr>
            <sz val="8"/>
            <color indexed="81"/>
            <rFont val="Tahoma"/>
            <family val="2"/>
          </rPr>
          <t xml:space="preserve">
Only include club dues</t>
        </r>
      </text>
    </comment>
    <comment ref="A19" authorId="0">
      <text>
        <r>
          <rPr>
            <b/>
            <sz val="8"/>
            <color indexed="81"/>
            <rFont val="Tahoma"/>
            <family val="2"/>
          </rPr>
          <t>sajordan:</t>
        </r>
        <r>
          <rPr>
            <sz val="8"/>
            <color indexed="81"/>
            <rFont val="Tahoma"/>
            <family val="2"/>
          </rPr>
          <t xml:space="preserve">
Lobbying</t>
        </r>
      </text>
    </comment>
    <comment ref="AA19" authorId="0">
      <text>
        <r>
          <rPr>
            <b/>
            <sz val="8"/>
            <color indexed="81"/>
            <rFont val="Tahoma"/>
            <family val="2"/>
          </rPr>
          <t>sajordan:</t>
        </r>
        <r>
          <rPr>
            <sz val="8"/>
            <color indexed="81"/>
            <rFont val="Tahoma"/>
            <family val="2"/>
          </rPr>
          <t xml:space="preserve">
Lobbying</t>
        </r>
      </text>
    </comment>
    <comment ref="H21" authorId="0">
      <text>
        <r>
          <rPr>
            <b/>
            <sz val="8"/>
            <color indexed="81"/>
            <rFont val="Tahoma"/>
            <family val="2"/>
          </rPr>
          <t xml:space="preserve">sajordan:
</t>
        </r>
        <r>
          <rPr>
            <sz val="8"/>
            <color indexed="81"/>
            <rFont val="Tahoma"/>
            <family val="2"/>
          </rPr>
          <t>Total Permanent plus Total Flow-Through</t>
        </r>
      </text>
    </comment>
    <comment ref="R21" authorId="0">
      <text>
        <r>
          <rPr>
            <b/>
            <sz val="8"/>
            <color indexed="81"/>
            <rFont val="Tahoma"/>
            <family val="2"/>
          </rPr>
          <t xml:space="preserve">sajordan:
</t>
        </r>
        <r>
          <rPr>
            <sz val="8"/>
            <color indexed="81"/>
            <rFont val="Tahoma"/>
            <family val="2"/>
          </rPr>
          <t>Total Permanent plus Total Flow-Through</t>
        </r>
      </text>
    </comment>
    <comment ref="AG21" authorId="0">
      <text>
        <r>
          <rPr>
            <b/>
            <sz val="8"/>
            <color indexed="81"/>
            <rFont val="Tahoma"/>
            <family val="2"/>
          </rPr>
          <t xml:space="preserve">sajordan:
</t>
        </r>
        <r>
          <rPr>
            <sz val="8"/>
            <color indexed="81"/>
            <rFont val="Tahoma"/>
            <family val="2"/>
          </rPr>
          <t>Total Permanent plus Total Flow-Through</t>
        </r>
      </text>
    </comment>
    <comment ref="AF27" authorId="0">
      <text>
        <r>
          <rPr>
            <b/>
            <sz val="8"/>
            <color indexed="81"/>
            <rFont val="Tahoma"/>
            <family val="2"/>
          </rPr>
          <t>sajordan:</t>
        </r>
        <r>
          <rPr>
            <sz val="8"/>
            <color indexed="81"/>
            <rFont val="Tahoma"/>
            <family val="2"/>
          </rPr>
          <t xml:space="preserve">
Reversed Sep-09  entry for 2008  Actualization of $829,149.0 in Oct-09</t>
        </r>
      </text>
    </comment>
    <comment ref="B31" authorId="0">
      <text>
        <r>
          <rPr>
            <b/>
            <sz val="8"/>
            <color indexed="81"/>
            <rFont val="Tahoma"/>
            <family val="2"/>
          </rPr>
          <t>sajordan:</t>
        </r>
        <r>
          <rPr>
            <sz val="8"/>
            <color indexed="81"/>
            <rFont val="Tahoma"/>
            <family val="2"/>
          </rPr>
          <t xml:space="preserve">
Federal Property Related plus State (Accel Depr,  Depr - Basis Diff, Depr - Life Diff)  See Rpt 51011</t>
        </r>
      </text>
    </comment>
    <comment ref="AB31" authorId="0">
      <text>
        <r>
          <rPr>
            <b/>
            <sz val="8"/>
            <color indexed="81"/>
            <rFont val="Tahoma"/>
            <family val="2"/>
          </rPr>
          <t>sajordan:</t>
        </r>
        <r>
          <rPr>
            <sz val="8"/>
            <color indexed="81"/>
            <rFont val="Tahoma"/>
            <family val="2"/>
          </rPr>
          <t xml:space="preserve">
Federal Property Related plus State (Accel Depr,  Depr - Basis Diff, Depr - Life Diff)  See Rpt 51011</t>
        </r>
      </text>
    </comment>
    <comment ref="B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C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D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B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C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D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F53" authorId="0">
      <text>
        <r>
          <rPr>
            <b/>
            <sz val="8"/>
            <color indexed="81"/>
            <rFont val="Tahoma"/>
            <charset val="1"/>
          </rPr>
          <t>sajordan:</t>
        </r>
        <r>
          <rPr>
            <sz val="8"/>
            <color indexed="81"/>
            <rFont val="Tahoma"/>
            <charset val="1"/>
          </rPr>
          <t xml:space="preserve">
This should be the gross amount.  The reserve is included separately in FIN48</t>
        </r>
      </text>
    </comment>
    <comment ref="D55" authorId="0">
      <text>
        <r>
          <rPr>
            <b/>
            <sz val="8"/>
            <color indexed="81"/>
            <rFont val="Tahoma"/>
            <family val="2"/>
          </rPr>
          <t>sajordan:</t>
        </r>
        <r>
          <rPr>
            <sz val="8"/>
            <color indexed="81"/>
            <rFont val="Tahoma"/>
            <family val="2"/>
          </rPr>
          <t xml:space="preserve">
Do not update formula except for qtr-end months</t>
        </r>
      </text>
    </comment>
    <comment ref="AD55" authorId="0">
      <text>
        <r>
          <rPr>
            <b/>
            <sz val="8"/>
            <color indexed="81"/>
            <rFont val="Tahoma"/>
            <family val="2"/>
          </rPr>
          <t>sajordan:</t>
        </r>
        <r>
          <rPr>
            <sz val="8"/>
            <color indexed="81"/>
            <rFont val="Tahoma"/>
            <family val="2"/>
          </rPr>
          <t xml:space="preserve">
Do not update formula except for qtr-end months</t>
        </r>
      </text>
    </comment>
    <comment ref="A56" authorId="0">
      <text>
        <r>
          <rPr>
            <b/>
            <sz val="8"/>
            <color indexed="81"/>
            <rFont val="Tahoma"/>
            <family val="2"/>
          </rPr>
          <t>sajordan:</t>
        </r>
        <r>
          <rPr>
            <sz val="8"/>
            <color indexed="81"/>
            <rFont val="Tahoma"/>
            <family val="2"/>
          </rPr>
          <t xml:space="preserve">
This amount does not come from PowerPlant.  See JV TAX-3017</t>
        </r>
      </text>
    </comment>
    <comment ref="AA56" authorId="0">
      <text>
        <r>
          <rPr>
            <b/>
            <sz val="8"/>
            <color indexed="81"/>
            <rFont val="Tahoma"/>
            <family val="2"/>
          </rPr>
          <t>sajordan:</t>
        </r>
        <r>
          <rPr>
            <sz val="8"/>
            <color indexed="81"/>
            <rFont val="Tahoma"/>
            <family val="2"/>
          </rPr>
          <t xml:space="preserve">
This amount does not come from PowerPlant.  See JV TAX-3017</t>
        </r>
      </text>
    </comment>
  </commentList>
</comments>
</file>

<file path=xl/comments2.xml><?xml version="1.0" encoding="utf-8"?>
<comments xmlns="http://schemas.openxmlformats.org/spreadsheetml/2006/main">
  <authors>
    <author>sajordan</author>
  </authors>
  <commentList>
    <comment ref="F14" authorId="0">
      <text>
        <r>
          <rPr>
            <b/>
            <sz val="8"/>
            <color indexed="81"/>
            <rFont val="Tahoma"/>
            <family val="2"/>
          </rPr>
          <t>sajordan:</t>
        </r>
        <r>
          <rPr>
            <sz val="8"/>
            <color indexed="81"/>
            <rFont val="Tahoma"/>
            <family val="2"/>
          </rPr>
          <t xml:space="preserve">
includes Reversal of Flow Through Items
Fed Life FT Fed
Federal ITC Basis Red Fed , AFUDC EQUITY
Debt Gross FT Fed
AFUDC Debt Not Fed
Federal Indirect Cost Ft Fed
AFUDC Flowthrough and Other FLowThrough Reversal See rpt 120 Flowthrough
only Source of Reversal of FLowThru is PTRpt 120
</t>
        </r>
      </text>
    </comment>
    <comment ref="AF14" authorId="0">
      <text>
        <r>
          <rPr>
            <b/>
            <sz val="8"/>
            <color indexed="81"/>
            <rFont val="Tahoma"/>
            <family val="2"/>
          </rPr>
          <t>sajordan:</t>
        </r>
        <r>
          <rPr>
            <sz val="8"/>
            <color indexed="81"/>
            <rFont val="Tahoma"/>
            <family val="2"/>
          </rPr>
          <t xml:space="preserve">
includes Reversal of Flow Through Items
Fed Life FT Fed
Federal ITC Basis Red Fed , AFUDC EQUITY
Debt Gross FT Fed
AFUDC Debt Not Fed
Federal Indirect Cost Ft Fed
AFUDC Flowthrough and Other FLowThrough Reversal See rpt 120 Flowthrough
only Source of Reversal of FLowThru is PTRpt 120
</t>
        </r>
      </text>
    </comment>
    <comment ref="B15" authorId="0">
      <text>
        <r>
          <rPr>
            <b/>
            <sz val="8"/>
            <color indexed="81"/>
            <rFont val="Tahoma"/>
            <family val="2"/>
          </rPr>
          <t xml:space="preserve">sajordan:
</t>
        </r>
        <r>
          <rPr>
            <sz val="8"/>
            <color indexed="81"/>
            <rFont val="Tahoma"/>
            <family val="2"/>
          </rPr>
          <t>Compare to Rpt 51011 State: FAS109 FLOWTHRU and FAS109 ITC
In Rpt 120 this Fed Flow Through minus State Flow Through</t>
        </r>
      </text>
    </comment>
    <comment ref="AB15" authorId="0">
      <text>
        <r>
          <rPr>
            <b/>
            <sz val="8"/>
            <color indexed="81"/>
            <rFont val="Tahoma"/>
            <family val="2"/>
          </rPr>
          <t xml:space="preserve">sajordan:
</t>
        </r>
        <r>
          <rPr>
            <sz val="8"/>
            <color indexed="81"/>
            <rFont val="Tahoma"/>
            <family val="2"/>
          </rPr>
          <t>Compare to Rpt 51011 State: FAS109 FLOWTHRU and FAS109 ITC
In Rpt 120 this Fed Flow Through minus State Flow Through</t>
        </r>
      </text>
    </comment>
    <comment ref="R17" authorId="0">
      <text>
        <r>
          <rPr>
            <b/>
            <sz val="8"/>
            <color indexed="81"/>
            <rFont val="Tahoma"/>
            <family val="2"/>
          </rPr>
          <t>sajordan:</t>
        </r>
        <r>
          <rPr>
            <sz val="8"/>
            <color indexed="81"/>
            <rFont val="Tahoma"/>
            <family val="2"/>
          </rPr>
          <t xml:space="preserve">
Only include club dues</t>
        </r>
      </text>
    </comment>
    <comment ref="AG17" authorId="0">
      <text>
        <r>
          <rPr>
            <b/>
            <sz val="8"/>
            <color indexed="81"/>
            <rFont val="Tahoma"/>
            <family val="2"/>
          </rPr>
          <t>sajordan:</t>
        </r>
        <r>
          <rPr>
            <sz val="8"/>
            <color indexed="81"/>
            <rFont val="Tahoma"/>
            <family val="2"/>
          </rPr>
          <t xml:space="preserve">
Only include club dues</t>
        </r>
      </text>
    </comment>
    <comment ref="A19" authorId="0">
      <text>
        <r>
          <rPr>
            <b/>
            <sz val="8"/>
            <color indexed="81"/>
            <rFont val="Tahoma"/>
            <family val="2"/>
          </rPr>
          <t>sajordan:</t>
        </r>
        <r>
          <rPr>
            <sz val="8"/>
            <color indexed="81"/>
            <rFont val="Tahoma"/>
            <family val="2"/>
          </rPr>
          <t xml:space="preserve">
Lobbying</t>
        </r>
      </text>
    </comment>
    <comment ref="AA19" authorId="0">
      <text>
        <r>
          <rPr>
            <b/>
            <sz val="8"/>
            <color indexed="81"/>
            <rFont val="Tahoma"/>
            <family val="2"/>
          </rPr>
          <t>sajordan:</t>
        </r>
        <r>
          <rPr>
            <sz val="8"/>
            <color indexed="81"/>
            <rFont val="Tahoma"/>
            <family val="2"/>
          </rPr>
          <t xml:space="preserve">
Lobbying</t>
        </r>
      </text>
    </comment>
    <comment ref="H21" authorId="0">
      <text>
        <r>
          <rPr>
            <b/>
            <sz val="8"/>
            <color indexed="81"/>
            <rFont val="Tahoma"/>
            <family val="2"/>
          </rPr>
          <t xml:space="preserve">sajordan:
</t>
        </r>
        <r>
          <rPr>
            <sz val="8"/>
            <color indexed="81"/>
            <rFont val="Tahoma"/>
            <family val="2"/>
          </rPr>
          <t>Total Permanent plus Total Flow-Through</t>
        </r>
      </text>
    </comment>
    <comment ref="R21" authorId="0">
      <text>
        <r>
          <rPr>
            <b/>
            <sz val="8"/>
            <color indexed="81"/>
            <rFont val="Tahoma"/>
            <family val="2"/>
          </rPr>
          <t xml:space="preserve">sajordan:
</t>
        </r>
        <r>
          <rPr>
            <sz val="8"/>
            <color indexed="81"/>
            <rFont val="Tahoma"/>
            <family val="2"/>
          </rPr>
          <t>Total Permanent plus Total Flow-Through</t>
        </r>
      </text>
    </comment>
    <comment ref="AG21" authorId="0">
      <text>
        <r>
          <rPr>
            <b/>
            <sz val="8"/>
            <color indexed="81"/>
            <rFont val="Tahoma"/>
            <family val="2"/>
          </rPr>
          <t xml:space="preserve">sajordan:
</t>
        </r>
        <r>
          <rPr>
            <sz val="8"/>
            <color indexed="81"/>
            <rFont val="Tahoma"/>
            <family val="2"/>
          </rPr>
          <t>Total Permanent plus Total Flow-Through</t>
        </r>
      </text>
    </comment>
    <comment ref="F27" authorId="0">
      <text>
        <r>
          <rPr>
            <b/>
            <sz val="8"/>
            <color indexed="81"/>
            <rFont val="Tahoma"/>
            <family val="2"/>
          </rPr>
          <t>sajordan:</t>
        </r>
        <r>
          <rPr>
            <sz val="8"/>
            <color indexed="81"/>
            <rFont val="Tahoma"/>
            <family val="2"/>
          </rPr>
          <t xml:space="preserve">
Reversed Sep-09  entry for 2008  Actualization of $829,149.0 in Oct-09</t>
        </r>
      </text>
    </comment>
    <comment ref="AF27" authorId="0">
      <text>
        <r>
          <rPr>
            <b/>
            <sz val="8"/>
            <color indexed="81"/>
            <rFont val="Tahoma"/>
            <family val="2"/>
          </rPr>
          <t>sajordan:</t>
        </r>
        <r>
          <rPr>
            <sz val="8"/>
            <color indexed="81"/>
            <rFont val="Tahoma"/>
            <family val="2"/>
          </rPr>
          <t xml:space="preserve">
Reversed Sep-09  entry for 2008  Actualization of $829,149.0 in Oct-09</t>
        </r>
      </text>
    </comment>
    <comment ref="B31" authorId="0">
      <text>
        <r>
          <rPr>
            <b/>
            <sz val="8"/>
            <color indexed="81"/>
            <rFont val="Tahoma"/>
            <family val="2"/>
          </rPr>
          <t>sajordan:</t>
        </r>
        <r>
          <rPr>
            <sz val="8"/>
            <color indexed="81"/>
            <rFont val="Tahoma"/>
            <family val="2"/>
          </rPr>
          <t xml:space="preserve">
Federal Property Related plus State (Accel Depr,  Depr - Basis Diff, Depr - Life Diff)  See Rpt 51011</t>
        </r>
      </text>
    </comment>
    <comment ref="AB31" authorId="0">
      <text>
        <r>
          <rPr>
            <b/>
            <sz val="8"/>
            <color indexed="81"/>
            <rFont val="Tahoma"/>
            <family val="2"/>
          </rPr>
          <t>sajordan:</t>
        </r>
        <r>
          <rPr>
            <sz val="8"/>
            <color indexed="81"/>
            <rFont val="Tahoma"/>
            <family val="2"/>
          </rPr>
          <t xml:space="preserve">
Federal Property Related plus State (Accel Depr,  Depr - Basis Diff, Depr - Life Diff)  See Rpt 51011</t>
        </r>
      </text>
    </comment>
    <comment ref="B44" authorId="0">
      <text>
        <r>
          <rPr>
            <b/>
            <sz val="8"/>
            <color indexed="81"/>
            <rFont val="Tahoma"/>
            <family val="2"/>
          </rPr>
          <t>sajordan:</t>
        </r>
        <r>
          <rPr>
            <sz val="8"/>
            <color indexed="81"/>
            <rFont val="Tahoma"/>
            <family val="2"/>
          </rPr>
          <t xml:space="preserve">
Updated factors Sep-09 to 2008 Income Tax Return (Rule of thumb: if booking actualization entries that will be reversed in following month, make sure same apportionment factors used in both months.)</t>
        </r>
      </text>
    </comment>
    <comment ref="C44" authorId="0">
      <text>
        <r>
          <rPr>
            <b/>
            <sz val="8"/>
            <color indexed="81"/>
            <rFont val="Tahoma"/>
            <family val="2"/>
          </rPr>
          <t>sajordan:</t>
        </r>
        <r>
          <rPr>
            <sz val="8"/>
            <color indexed="81"/>
            <rFont val="Tahoma"/>
            <family val="2"/>
          </rPr>
          <t xml:space="preserve">
Updated factors Sep-09 to 2008 Income Tax Return (Rule of thumb: if booking actualization entries that will be reversed in following month, make sure same apportionment factors used in both months.)</t>
        </r>
      </text>
    </comment>
    <comment ref="D44" authorId="0">
      <text>
        <r>
          <rPr>
            <b/>
            <sz val="8"/>
            <color indexed="81"/>
            <rFont val="Tahoma"/>
            <family val="2"/>
          </rPr>
          <t>sajordan:</t>
        </r>
        <r>
          <rPr>
            <sz val="8"/>
            <color indexed="81"/>
            <rFont val="Tahoma"/>
            <family val="2"/>
          </rPr>
          <t xml:space="preserve">
Updated factors Sep-09 to 2008 Income Tax Return (Rule of thumb: if booking actualization entries that will be reversed in following month, make sure same apportionment factors used in both months.)</t>
        </r>
      </text>
    </comment>
    <comment ref="AB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C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D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D55" authorId="0">
      <text>
        <r>
          <rPr>
            <b/>
            <sz val="8"/>
            <color indexed="81"/>
            <rFont val="Tahoma"/>
            <family val="2"/>
          </rPr>
          <t>sajordan:</t>
        </r>
        <r>
          <rPr>
            <sz val="8"/>
            <color indexed="81"/>
            <rFont val="Tahoma"/>
            <family val="2"/>
          </rPr>
          <t xml:space="preserve">
Do not update formula except for qtr-end months</t>
        </r>
      </text>
    </comment>
    <comment ref="AA56" authorId="0">
      <text>
        <r>
          <rPr>
            <b/>
            <sz val="8"/>
            <color indexed="81"/>
            <rFont val="Tahoma"/>
            <family val="2"/>
          </rPr>
          <t>sajordan:</t>
        </r>
        <r>
          <rPr>
            <sz val="8"/>
            <color indexed="81"/>
            <rFont val="Tahoma"/>
            <family val="2"/>
          </rPr>
          <t xml:space="preserve">
This amount does not come from PowerPlant.  See JV TAX-3017</t>
        </r>
      </text>
    </comment>
  </commentList>
</comments>
</file>

<file path=xl/comments3.xml><?xml version="1.0" encoding="utf-8"?>
<comments xmlns="http://schemas.openxmlformats.org/spreadsheetml/2006/main">
  <authors>
    <author>sajordan</author>
  </authors>
  <commentList>
    <comment ref="H12" authorId="0">
      <text>
        <r>
          <rPr>
            <b/>
            <sz val="8"/>
            <color indexed="81"/>
            <rFont val="Tahoma"/>
            <family val="2"/>
          </rPr>
          <t>sajordan:</t>
        </r>
        <r>
          <rPr>
            <sz val="8"/>
            <color indexed="81"/>
            <rFont val="Tahoma"/>
            <family val="2"/>
          </rPr>
          <t xml:space="preserve">
Case 373 used for Jan-2011 saj02/07/2011</t>
        </r>
      </text>
    </comment>
    <comment ref="F14" authorId="0">
      <text>
        <r>
          <rPr>
            <b/>
            <sz val="8"/>
            <color indexed="81"/>
            <rFont val="Tahoma"/>
            <family val="2"/>
          </rPr>
          <t>sajordan:</t>
        </r>
        <r>
          <rPr>
            <sz val="8"/>
            <color indexed="81"/>
            <rFont val="Tahoma"/>
            <family val="2"/>
          </rPr>
          <t xml:space="preserve">
includes Reversal of Flow Through Items
Fed Life FT Fed
Federal ITC Basis Red Fed , AFUDC EQUITY
Debt Gross FT Fed
AFUDC Debt Not Fed
Federal Indirect Cost Ft Fed
AFUDC Flowthrough and Other FLowThrough Reversal See rpt 120 Flowthrough
only Source of Reversal of FLowThru is PTRpt 120
</t>
        </r>
      </text>
    </comment>
    <comment ref="AF14" authorId="0">
      <text>
        <r>
          <rPr>
            <b/>
            <sz val="8"/>
            <color indexed="81"/>
            <rFont val="Tahoma"/>
            <family val="2"/>
          </rPr>
          <t>sajordan:</t>
        </r>
        <r>
          <rPr>
            <sz val="8"/>
            <color indexed="81"/>
            <rFont val="Tahoma"/>
            <family val="2"/>
          </rPr>
          <t xml:space="preserve">
includes Reversal of Flow Through Items
Fed Life FT Fed
Federal ITC Basis Red Fed , AFUDC EQUITY
Debt Gross FT Fed
AFUDC Debt Not Fed
Federal Indirect Cost Ft Fed
AFUDC Flowthrough and Other FLowThrough Reversal See rpt 120 Flowthrough
only Source of Reversal of FLowThru is PTRpt 120
</t>
        </r>
      </text>
    </comment>
    <comment ref="B15" authorId="0">
      <text>
        <r>
          <rPr>
            <b/>
            <sz val="8"/>
            <color indexed="81"/>
            <rFont val="Tahoma"/>
            <family val="2"/>
          </rPr>
          <t xml:space="preserve">sajordan:
</t>
        </r>
        <r>
          <rPr>
            <sz val="8"/>
            <color indexed="81"/>
            <rFont val="Tahoma"/>
            <family val="2"/>
          </rPr>
          <t>Compare to Rpt 51011 State: FAS109 FLOWTHRU and FAS109 ITC
In Rpt 120 this Fed Flow Through minus State Flow Through</t>
        </r>
      </text>
    </comment>
    <comment ref="AB15" authorId="0">
      <text>
        <r>
          <rPr>
            <b/>
            <sz val="8"/>
            <color indexed="81"/>
            <rFont val="Tahoma"/>
            <family val="2"/>
          </rPr>
          <t xml:space="preserve">sajordan:
</t>
        </r>
        <r>
          <rPr>
            <sz val="8"/>
            <color indexed="81"/>
            <rFont val="Tahoma"/>
            <family val="2"/>
          </rPr>
          <t>Compare to Rpt 51011 State: FAS109 FLOWTHRU and FAS109 ITC
In Rpt 120 this Fed Flow Through minus State Flow Through</t>
        </r>
      </text>
    </comment>
    <comment ref="R17" authorId="0">
      <text>
        <r>
          <rPr>
            <b/>
            <sz val="8"/>
            <color indexed="81"/>
            <rFont val="Tahoma"/>
            <family val="2"/>
          </rPr>
          <t>sajordan:</t>
        </r>
        <r>
          <rPr>
            <sz val="8"/>
            <color indexed="81"/>
            <rFont val="Tahoma"/>
            <family val="2"/>
          </rPr>
          <t xml:space="preserve">
Only include club dues</t>
        </r>
      </text>
    </comment>
    <comment ref="AG17" authorId="0">
      <text>
        <r>
          <rPr>
            <b/>
            <sz val="8"/>
            <color indexed="81"/>
            <rFont val="Tahoma"/>
            <family val="2"/>
          </rPr>
          <t>sajordan:</t>
        </r>
        <r>
          <rPr>
            <sz val="8"/>
            <color indexed="81"/>
            <rFont val="Tahoma"/>
            <family val="2"/>
          </rPr>
          <t xml:space="preserve">
Only include club dues</t>
        </r>
      </text>
    </comment>
    <comment ref="A19" authorId="0">
      <text>
        <r>
          <rPr>
            <b/>
            <sz val="8"/>
            <color indexed="81"/>
            <rFont val="Tahoma"/>
            <family val="2"/>
          </rPr>
          <t>sajordan:</t>
        </r>
        <r>
          <rPr>
            <sz val="8"/>
            <color indexed="81"/>
            <rFont val="Tahoma"/>
            <family val="2"/>
          </rPr>
          <t xml:space="preserve">
Lobbying</t>
        </r>
      </text>
    </comment>
    <comment ref="AA19" authorId="0">
      <text>
        <r>
          <rPr>
            <b/>
            <sz val="8"/>
            <color indexed="81"/>
            <rFont val="Tahoma"/>
            <family val="2"/>
          </rPr>
          <t>sajordan:</t>
        </r>
        <r>
          <rPr>
            <sz val="8"/>
            <color indexed="81"/>
            <rFont val="Tahoma"/>
            <family val="2"/>
          </rPr>
          <t xml:space="preserve">
Lobbying</t>
        </r>
      </text>
    </comment>
    <comment ref="H21" authorId="0">
      <text>
        <r>
          <rPr>
            <b/>
            <sz val="8"/>
            <color indexed="81"/>
            <rFont val="Tahoma"/>
            <family val="2"/>
          </rPr>
          <t xml:space="preserve">sajordan:
</t>
        </r>
        <r>
          <rPr>
            <sz val="8"/>
            <color indexed="81"/>
            <rFont val="Tahoma"/>
            <family val="2"/>
          </rPr>
          <t>Total Permanent plus Total Flow-Through</t>
        </r>
      </text>
    </comment>
    <comment ref="R21" authorId="0">
      <text>
        <r>
          <rPr>
            <b/>
            <sz val="8"/>
            <color indexed="81"/>
            <rFont val="Tahoma"/>
            <family val="2"/>
          </rPr>
          <t xml:space="preserve">sajordan:
</t>
        </r>
        <r>
          <rPr>
            <sz val="8"/>
            <color indexed="81"/>
            <rFont val="Tahoma"/>
            <family val="2"/>
          </rPr>
          <t>Total Permanent plus Total Flow-Through</t>
        </r>
      </text>
    </comment>
    <comment ref="AG21" authorId="0">
      <text>
        <r>
          <rPr>
            <b/>
            <sz val="8"/>
            <color indexed="81"/>
            <rFont val="Tahoma"/>
            <family val="2"/>
          </rPr>
          <t xml:space="preserve">sajordan:
</t>
        </r>
        <r>
          <rPr>
            <sz val="8"/>
            <color indexed="81"/>
            <rFont val="Tahoma"/>
            <family val="2"/>
          </rPr>
          <t>Total Permanent plus Total Flow-Through</t>
        </r>
      </text>
    </comment>
    <comment ref="AF27" authorId="0">
      <text>
        <r>
          <rPr>
            <b/>
            <sz val="8"/>
            <color indexed="81"/>
            <rFont val="Tahoma"/>
            <family val="2"/>
          </rPr>
          <t>sajordan:</t>
        </r>
        <r>
          <rPr>
            <sz val="8"/>
            <color indexed="81"/>
            <rFont val="Tahoma"/>
            <family val="2"/>
          </rPr>
          <t xml:space="preserve">
Reversed Sep-09  entry for 2008  Actualization of $829,149.0 in Oct-09</t>
        </r>
      </text>
    </comment>
    <comment ref="B31" authorId="0">
      <text>
        <r>
          <rPr>
            <b/>
            <sz val="8"/>
            <color indexed="81"/>
            <rFont val="Tahoma"/>
            <family val="2"/>
          </rPr>
          <t>sajordan:</t>
        </r>
        <r>
          <rPr>
            <sz val="8"/>
            <color indexed="81"/>
            <rFont val="Tahoma"/>
            <family val="2"/>
          </rPr>
          <t xml:space="preserve">
Federal Property Related plus State (Accel Depr,  Depr - Basis Diff, Depr - Life Diff)  See Rpt 51011</t>
        </r>
      </text>
    </comment>
    <comment ref="AB31" authorId="0">
      <text>
        <r>
          <rPr>
            <b/>
            <sz val="8"/>
            <color indexed="81"/>
            <rFont val="Tahoma"/>
            <family val="2"/>
          </rPr>
          <t>sajordan:</t>
        </r>
        <r>
          <rPr>
            <sz val="8"/>
            <color indexed="81"/>
            <rFont val="Tahoma"/>
            <family val="2"/>
          </rPr>
          <t xml:space="preserve">
Federal Property Related plus State (Accel Depr,  Depr - Basis Diff, Depr - Life Diff)  See Rpt 51011</t>
        </r>
      </text>
    </comment>
    <comment ref="B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C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D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B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C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AD44" authorId="0">
      <text>
        <r>
          <rPr>
            <b/>
            <sz val="8"/>
            <color indexed="81"/>
            <rFont val="Tahoma"/>
            <family val="2"/>
          </rPr>
          <t>sajordan:</t>
        </r>
        <r>
          <rPr>
            <sz val="8"/>
            <color indexed="81"/>
            <rFont val="Tahoma"/>
            <family val="2"/>
          </rPr>
          <t xml:space="preserve">
Updated factors Oct-10 to 2009 Income Tax Return (Rule of thumb: if booking actualization entries that will be reversed in following month, make sure same apportionment factors used in both months.)</t>
        </r>
      </text>
    </comment>
    <comment ref="F53" authorId="0">
      <text>
        <r>
          <rPr>
            <b/>
            <sz val="8"/>
            <color indexed="81"/>
            <rFont val="Tahoma"/>
            <family val="2"/>
          </rPr>
          <t>sajordan:</t>
        </r>
        <r>
          <rPr>
            <sz val="8"/>
            <color indexed="81"/>
            <rFont val="Tahoma"/>
            <family val="2"/>
          </rPr>
          <t xml:space="preserve">
This should be the gross amount.  The reserve is included separately in FIN48</t>
        </r>
      </text>
    </comment>
    <comment ref="AD55" authorId="0">
      <text>
        <r>
          <rPr>
            <b/>
            <sz val="8"/>
            <color indexed="81"/>
            <rFont val="Tahoma"/>
            <family val="2"/>
          </rPr>
          <t>sajordan:</t>
        </r>
        <r>
          <rPr>
            <sz val="8"/>
            <color indexed="81"/>
            <rFont val="Tahoma"/>
            <family val="2"/>
          </rPr>
          <t xml:space="preserve">
Do not update formula except for qtr-end months</t>
        </r>
      </text>
    </comment>
    <comment ref="A56" authorId="0">
      <text>
        <r>
          <rPr>
            <b/>
            <sz val="8"/>
            <color indexed="81"/>
            <rFont val="Tahoma"/>
            <family val="2"/>
          </rPr>
          <t>sajordan:</t>
        </r>
        <r>
          <rPr>
            <sz val="8"/>
            <color indexed="81"/>
            <rFont val="Tahoma"/>
            <family val="2"/>
          </rPr>
          <t xml:space="preserve">
This amount does not come from PowerPlant.  See JV TAX-3017</t>
        </r>
      </text>
    </comment>
    <comment ref="AA56" authorId="0">
      <text>
        <r>
          <rPr>
            <b/>
            <sz val="8"/>
            <color indexed="81"/>
            <rFont val="Tahoma"/>
            <family val="2"/>
          </rPr>
          <t>sajordan:</t>
        </r>
        <r>
          <rPr>
            <sz val="8"/>
            <color indexed="81"/>
            <rFont val="Tahoma"/>
            <family val="2"/>
          </rPr>
          <t xml:space="preserve">
This amount does not come from PowerPlant.  See JV TAX-3017</t>
        </r>
      </text>
    </comment>
    <comment ref="F57" authorId="0">
      <text>
        <r>
          <rPr>
            <b/>
            <sz val="8"/>
            <color indexed="81"/>
            <rFont val="Tahoma"/>
            <family val="2"/>
          </rPr>
          <t>sajordan:</t>
        </r>
        <r>
          <rPr>
            <sz val="8"/>
            <color indexed="81"/>
            <rFont val="Tahoma"/>
            <family val="2"/>
          </rPr>
          <t xml:space="preserve">
2010 Bonus Depr Topside $10,779,647.39 booked Jan-2011</t>
        </r>
      </text>
    </comment>
    <comment ref="F68" authorId="0">
      <text>
        <r>
          <rPr>
            <b/>
            <sz val="8"/>
            <color indexed="81"/>
            <rFont val="Tahoma"/>
            <family val="2"/>
          </rPr>
          <t>sajordan:</t>
        </r>
        <r>
          <rPr>
            <sz val="8"/>
            <color indexed="81"/>
            <rFont val="Tahoma"/>
            <family val="2"/>
          </rPr>
          <t xml:space="preserve">
2010 Bonus Depr Topside $10,779,647.39 booked Jan-2011</t>
        </r>
      </text>
    </comment>
  </commentList>
</comments>
</file>

<file path=xl/sharedStrings.xml><?xml version="1.0" encoding="utf-8"?>
<sst xmlns="http://schemas.openxmlformats.org/spreadsheetml/2006/main" count="1234" uniqueCount="196">
  <si>
    <t>Acct 426.3</t>
  </si>
  <si>
    <t>NON DEDUCTIBLE BOOK DEPR STATE INCREM</t>
  </si>
  <si>
    <t xml:space="preserve">STATE TIMING RATE DIFF PROPERTY RELATED </t>
  </si>
  <si>
    <t>Budget</t>
  </si>
  <si>
    <t>PowerTax Budget</t>
  </si>
  <si>
    <t>Meals Calculation</t>
  </si>
  <si>
    <t>41100420, 41100422</t>
  </si>
  <si>
    <t>Calculated</t>
  </si>
  <si>
    <t>Rule of Law</t>
  </si>
  <si>
    <t>Apportionment Factors from prior Year Tax return</t>
  </si>
  <si>
    <t>FLORIDA</t>
  </si>
  <si>
    <t>MISSISSIPPI</t>
  </si>
  <si>
    <t>GEORGIA</t>
  </si>
  <si>
    <t>FEDERAL</t>
  </si>
  <si>
    <t>ADDITIONS:</t>
  </si>
  <si>
    <t>FEDERAL INCOME TAX</t>
  </si>
  <si>
    <t>NON DEDUCTIBLE BOOK DEPRECIATION</t>
  </si>
  <si>
    <t>MEALS &amp; ENTERTAINMENT</t>
  </si>
  <si>
    <t>SECTION 162 / 274</t>
  </si>
  <si>
    <t>TOTAL</t>
  </si>
  <si>
    <t>DEDUCTIONS:</t>
  </si>
  <si>
    <t>AMORTIZATION OF ITC</t>
  </si>
  <si>
    <t>AFUDC EQUITY</t>
  </si>
  <si>
    <t>MEDICARE SUBSIDY</t>
  </si>
  <si>
    <t>ELECTRIC - SECTION 199 DEDUCTION</t>
  </si>
  <si>
    <t>SPECIAL ADJUSTMENTS:</t>
  </si>
  <si>
    <t>STATE INCOME TAX DEDUCTION</t>
  </si>
  <si>
    <t>TAX EXEMPTED INTEREST</t>
  </si>
  <si>
    <t>CREDITS:  FL SCHOLARSHIP&amp;EET  FED R&amp;D</t>
  </si>
  <si>
    <t>FLORIDA SURTAX EXEMPTION</t>
  </si>
  <si>
    <t>TAXABLE INCOME</t>
  </si>
  <si>
    <t>TOTAL INCOME TAX PROVISION</t>
  </si>
  <si>
    <t>GULF POWER COMPANY</t>
  </si>
  <si>
    <t>INCOME TAX EXPENSE</t>
  </si>
  <si>
    <t>SCHEDULE 60 SUPP. NO. 2</t>
  </si>
  <si>
    <t xml:space="preserve">TOTAL </t>
  </si>
  <si>
    <t>TIMING DIFFERENCES</t>
  </si>
  <si>
    <t>OTHER</t>
  </si>
  <si>
    <t>TOTAL TEMPORARY DIFFERENCES</t>
  </si>
  <si>
    <t>FIN 48</t>
  </si>
  <si>
    <t>ADJUSTMENTS</t>
  </si>
  <si>
    <t>CALCULATED TAX</t>
  </si>
  <si>
    <t>LESS CREDITS AND ADJUSTMENTS</t>
  </si>
  <si>
    <t>STATE</t>
  </si>
  <si>
    <t>APPORTIONMENT FACTORS</t>
  </si>
  <si>
    <t>STATE INCOME APPORTIONED</t>
  </si>
  <si>
    <t>CURRENT PRIOR PERIOD ADJUSTMENT</t>
  </si>
  <si>
    <t>TAXABLE INCOME (POWERTAX)</t>
  </si>
  <si>
    <t>PROPERTY RELATED</t>
  </si>
  <si>
    <t>PRE-TAX NET INCOME PER BOOKS</t>
  </si>
  <si>
    <t>PENALTIES</t>
  </si>
  <si>
    <t>POWERPLAN CURRENT</t>
  </si>
  <si>
    <t>SCH4A</t>
  </si>
  <si>
    <t>SCH60A</t>
  </si>
  <si>
    <t>TOTAL GENERAL LEDGER</t>
  </si>
  <si>
    <t>41900100</t>
  </si>
  <si>
    <t>TOTAL FEDERAL AND STATE INCOME TAX</t>
  </si>
  <si>
    <t>SOFIA Less Proforma Utility Taxes JV2042</t>
  </si>
  <si>
    <t>Federal</t>
  </si>
  <si>
    <t>Net Inc After Tax</t>
  </si>
  <si>
    <t>Income Tax</t>
  </si>
  <si>
    <t>Net Inc Before Tax</t>
  </si>
  <si>
    <t>DIFFERENCE</t>
  </si>
  <si>
    <t>TOTAL FED &amp; STATE</t>
  </si>
  <si>
    <t>PROFORMA</t>
  </si>
  <si>
    <t>NON-UTILITY INCOME TAX EXPENSE</t>
  </si>
  <si>
    <t>AFFIRMATIVE ADJUSTMENTS</t>
  </si>
  <si>
    <t>R&amp;D CREDIT</t>
  </si>
  <si>
    <t>POST APPORT: FLORIDA SURTAX EXEMPTION</t>
  </si>
  <si>
    <t>TAXABLE INCOME BEFORE APPORTIONMENT</t>
  </si>
  <si>
    <t xml:space="preserve">TAXABLE INCOME </t>
  </si>
  <si>
    <t>SCHOLARSHIP CREDIT</t>
  </si>
  <si>
    <t>Difference</t>
  </si>
  <si>
    <t xml:space="preserve">APPORTIONMENT FACTORS  </t>
  </si>
  <si>
    <t>SYSTEM AIRCRAFT AND CLUB DUES</t>
  </si>
  <si>
    <t>Budget sys air Act Club Dues</t>
  </si>
  <si>
    <t>41900012</t>
  </si>
  <si>
    <t>STATUTORY TAX RATE</t>
  </si>
  <si>
    <t>Internal Controls:</t>
  </si>
  <si>
    <t>TX01.01.01 - Verify Pre Tax Net Income</t>
  </si>
  <si>
    <t>TX01.01.08 - Rates &amp; Provision</t>
  </si>
  <si>
    <t>TX01.01.09 - Independent Provision Calculation</t>
  </si>
  <si>
    <t>FR 06.00.01 - Agree Operating Reports to GL</t>
  </si>
  <si>
    <t xml:space="preserve">Prepared by: </t>
  </si>
  <si>
    <t>GEORGIA INVESTMENT TAX CREDIT</t>
  </si>
  <si>
    <t>FIN 48 RESERVE (Mfg Deduct; R&amp;D Credit; Ga ITC)</t>
  </si>
  <si>
    <t>FIN48 STATE OFFSET FOR FEDERAL - 410</t>
  </si>
  <si>
    <t>FIN48 STATE OFFSET FOR FEDERAL - 411</t>
  </si>
  <si>
    <t>DEFERRED TAX PAYBACK - 411</t>
  </si>
  <si>
    <t>DEFERRED TAX PROVISION - 410</t>
  </si>
  <si>
    <t>PRIOR PERIOD PROVISION - 410</t>
  </si>
  <si>
    <t>PRIOR PERIOD PAYBACK - 411</t>
  </si>
  <si>
    <t>SECTION 162 / 274 - LOBBYING</t>
  </si>
  <si>
    <t>41910000</t>
  </si>
  <si>
    <t>CONFIDENTIAL</t>
  </si>
  <si>
    <t>FIN 48 RESERVE (Mfg Deduct; R&amp;D Credit; Ga ITC; Repairs)</t>
  </si>
  <si>
    <t>MISCELLANEOUS</t>
  </si>
  <si>
    <t>ELECTRIC INCOME TAX EXPENSE</t>
  </si>
  <si>
    <t>92600402 + 92600403</t>
  </si>
  <si>
    <t>State</t>
  </si>
  <si>
    <t>FIN48 PROVISION - 410</t>
  </si>
  <si>
    <t>FIN48 PAYBACK - 411</t>
  </si>
  <si>
    <t>change</t>
  </si>
  <si>
    <t>41140420, 41140422</t>
  </si>
  <si>
    <t>subtotal 4</t>
  </si>
  <si>
    <t>subtotal 5</t>
  </si>
  <si>
    <r>
      <t>PowerTax Case 373, timing difference, reversal</t>
    </r>
    <r>
      <rPr>
        <sz val="10"/>
        <color rgb="FFFF0000"/>
        <rFont val="Lucida Console"/>
        <family val="3"/>
      </rPr>
      <t xml:space="preserve"> (use opposite sign)</t>
    </r>
  </si>
  <si>
    <t>March YTD, 2011</t>
  </si>
  <si>
    <t>BEFORE</t>
  </si>
  <si>
    <t>CHANGE</t>
  </si>
  <si>
    <t>December YTD, 2010</t>
  </si>
  <si>
    <t>Rpt-120</t>
  </si>
  <si>
    <t>Inc Tax - Electric</t>
  </si>
  <si>
    <t>with Fla Scholarship Credit</t>
  </si>
  <si>
    <t>without Fla Scholarship Credit</t>
  </si>
  <si>
    <t>Actual</t>
  </si>
  <si>
    <t>before</t>
  </si>
  <si>
    <t>March YTD, 2010</t>
  </si>
  <si>
    <t>never changes</t>
  </si>
  <si>
    <t>Sharon Jordan 04/08/2010</t>
  </si>
  <si>
    <t>Pre-tax NI</t>
  </si>
  <si>
    <t>Inc Tax Provision</t>
  </si>
  <si>
    <t>after</t>
  </si>
  <si>
    <t>tax effect</t>
  </si>
  <si>
    <t>Elec Inc</t>
  </si>
  <si>
    <t>Inc Taxes</t>
  </si>
  <si>
    <t>Inc B4tax</t>
  </si>
  <si>
    <t>APPORTIONMENT FACTORS  * changed in 2010</t>
  </si>
  <si>
    <t>12 Months Ended March 2011</t>
  </si>
  <si>
    <t>(in thousands)</t>
  </si>
  <si>
    <t>Book Depreciation</t>
  </si>
  <si>
    <t>C-22 LESS: TAX DEPRECIATION</t>
  </si>
  <si>
    <t>Property Related Timing Differences - Dec-2010 YTD</t>
  </si>
  <si>
    <t>Property Related Timing Differences - Mar-2011 YTD</t>
  </si>
  <si>
    <t>Property Related Timing Differences - Mar-2010 YTD</t>
  </si>
  <si>
    <t>Gulf Power Company</t>
  </si>
  <si>
    <t>Schedule G-12</t>
  </si>
  <si>
    <t>Interim Year 03/31/11</t>
  </si>
  <si>
    <t>Sch 60 Supp 2</t>
  </si>
  <si>
    <t>Timing Differences - Other</t>
  </si>
  <si>
    <t>YTD</t>
  </si>
  <si>
    <t>12 Mo Ended</t>
  </si>
  <si>
    <t>CAPACITY CLAUSE FEEDBACK</t>
  </si>
  <si>
    <t>DEFERRED COMPENSATION</t>
  </si>
  <si>
    <t>EMISSION ALLOWANCES</t>
  </si>
  <si>
    <t>ENERGY CONSERVATION</t>
  </si>
  <si>
    <t>ENVIRONMENTAL CLEANUP</t>
  </si>
  <si>
    <t>GE PURCHASING CARD</t>
  </si>
  <si>
    <t>INTEREST INCOME ACCRUED</t>
  </si>
  <si>
    <t>ITC DELTACOM REVENUES</t>
  </si>
  <si>
    <t>RAILCAR LEASE</t>
  </si>
  <si>
    <t>RETIREE LIFE INSURANCE</t>
  </si>
  <si>
    <t>RETIREE MEDICAL BENEFITS</t>
  </si>
  <si>
    <t>RIGHT OF WAY REVENUES</t>
  </si>
  <si>
    <t>STOCK OPTIONS EXERCISED</t>
  </si>
  <si>
    <t>STOCK OPTIONS GRANTED</t>
  </si>
  <si>
    <t>BAD DEBT RESERVE</t>
  </si>
  <si>
    <t>EARLY RETIREMENT PLANS</t>
  </si>
  <si>
    <t>OTHER POST EMPLOYMENT BENEFITS</t>
  </si>
  <si>
    <t>SUPPLEMENTAL PENSION</t>
  </si>
  <si>
    <t>FUEL CLAUSE UNDER RECOVERED</t>
  </si>
  <si>
    <t>INJURIES &amp; DAMAGES RESERVE</t>
  </si>
  <si>
    <t>MEDICAL INSURANCE CLAIMS</t>
  </si>
  <si>
    <t>STORM DAMAGE RESERVE</t>
  </si>
  <si>
    <t>FLAT BILL REVENUE</t>
  </si>
  <si>
    <t>LOSS/GAIN REACQ DEBT</t>
  </si>
  <si>
    <t>PENSION</t>
  </si>
  <si>
    <t>PERFORMANCE SHARES</t>
  </si>
  <si>
    <t>Purchased Power Capacity Recovery</t>
  </si>
  <si>
    <t>Employee Benefits</t>
  </si>
  <si>
    <t>Emission Allowances</t>
  </si>
  <si>
    <t>Energy Conservation Cost Recovery</t>
  </si>
  <si>
    <t>Environmental Cost Recovery</t>
  </si>
  <si>
    <t>Deferred Revenues</t>
  </si>
  <si>
    <t>Railcar Lease</t>
  </si>
  <si>
    <t>Bad Debt Reserve</t>
  </si>
  <si>
    <t>Fuel Cost Recovery</t>
  </si>
  <si>
    <t>Injuries &amp; Damages Reserve</t>
  </si>
  <si>
    <t>Property Damage Reserve</t>
  </si>
  <si>
    <t>Loss/Gain on Reacquired Debt</t>
  </si>
  <si>
    <t>Other</t>
  </si>
  <si>
    <t>H</t>
  </si>
  <si>
    <t>I</t>
  </si>
  <si>
    <t>J</t>
  </si>
  <si>
    <t>K</t>
  </si>
  <si>
    <t>L</t>
  </si>
  <si>
    <t>M</t>
  </si>
  <si>
    <t>N</t>
  </si>
  <si>
    <t>O</t>
  </si>
  <si>
    <t>P</t>
  </si>
  <si>
    <t>Q</t>
  </si>
  <si>
    <t>R</t>
  </si>
  <si>
    <t>S</t>
  </si>
  <si>
    <t>T</t>
  </si>
  <si>
    <t>U</t>
  </si>
  <si>
    <t>PowerPlant Rpt 51000</t>
  </si>
</sst>
</file>

<file path=xl/styles.xml><?xml version="1.0" encoding="utf-8"?>
<styleSheet xmlns="http://schemas.openxmlformats.org/spreadsheetml/2006/main">
  <numFmts count="6">
    <numFmt numFmtId="43" formatCode="_(* #,##0.00_);_(* \(#,##0.00\);_(* &quot;-&quot;??_);_(@_)"/>
    <numFmt numFmtId="164" formatCode="_(* #,##0_);_(* \(#,##0\);_(* &quot;-&quot;??_);_(@_)"/>
    <numFmt numFmtId="165" formatCode="_(* #,##0.000_);_(* \(#,##0.000\);_(* &quot;-&quot;??_);_(@_)"/>
    <numFmt numFmtId="166" formatCode="_(* #,##0.000000_);_(* \(#,##0.000000\);_(* &quot;-&quot;??_);_(@_)"/>
    <numFmt numFmtId="167" formatCode="_(* #,##0.00000000_);_(* \(#,##0.00000000\);_(* &quot;-&quot;??_);_(@_)"/>
    <numFmt numFmtId="168" formatCode="_(* #,##0.000000000_);_(* \(#,##0.000000000\);_(* &quot;-&quot;??_);_(@_)"/>
  </numFmts>
  <fonts count="18">
    <font>
      <sz val="12"/>
      <name val="Times New Roman"/>
    </font>
    <font>
      <sz val="11"/>
      <color theme="1"/>
      <name val="Calibri"/>
      <family val="2"/>
      <scheme val="minor"/>
    </font>
    <font>
      <sz val="11"/>
      <color theme="1"/>
      <name val="Calibri"/>
      <family val="2"/>
      <scheme val="minor"/>
    </font>
    <font>
      <sz val="12"/>
      <name val="Times New Roman"/>
      <family val="1"/>
    </font>
    <font>
      <sz val="12"/>
      <name val="Times New Roman"/>
      <family val="1"/>
    </font>
    <font>
      <sz val="8"/>
      <name val="Times New Roman"/>
      <family val="1"/>
    </font>
    <font>
      <sz val="8"/>
      <color indexed="81"/>
      <name val="Tahoma"/>
      <family val="2"/>
    </font>
    <font>
      <b/>
      <sz val="8"/>
      <color indexed="81"/>
      <name val="Tahoma"/>
      <family val="2"/>
    </font>
    <font>
      <sz val="10"/>
      <name val="Lucida Console"/>
      <family val="3"/>
    </font>
    <font>
      <sz val="10"/>
      <color indexed="12"/>
      <name val="Lucida Console"/>
      <family val="3"/>
    </font>
    <font>
      <b/>
      <sz val="10"/>
      <name val="Lucida Console"/>
      <family val="3"/>
    </font>
    <font>
      <sz val="10"/>
      <color indexed="10"/>
      <name val="Lucida Console"/>
      <family val="3"/>
    </font>
    <font>
      <u/>
      <sz val="10"/>
      <color indexed="10"/>
      <name val="Lucida Console"/>
      <family val="3"/>
    </font>
    <font>
      <b/>
      <sz val="10"/>
      <color indexed="53"/>
      <name val="Lucida Console"/>
      <family val="3"/>
    </font>
    <font>
      <b/>
      <sz val="12"/>
      <color rgb="FFFF0000"/>
      <name val="Times New Roman"/>
      <family val="1"/>
    </font>
    <font>
      <sz val="10"/>
      <color rgb="FFFF0000"/>
      <name val="Lucida Console"/>
      <family val="3"/>
    </font>
    <font>
      <b/>
      <sz val="8"/>
      <color indexed="81"/>
      <name val="Tahoma"/>
      <charset val="1"/>
    </font>
    <font>
      <sz val="8"/>
      <color indexed="81"/>
      <name val="Tahoma"/>
      <charset val="1"/>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F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43" fontId="4" fillId="0" borderId="0" applyFont="0" applyFill="0" applyBorder="0" applyAlignment="0" applyProtection="0"/>
    <xf numFmtId="9" fontId="4" fillId="0" borderId="0" applyFont="0" applyFill="0" applyBorder="0" applyAlignment="0" applyProtection="0"/>
    <xf numFmtId="0" fontId="2"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cellStyleXfs>
  <cellXfs count="184">
    <xf numFmtId="0" fontId="0" fillId="0" borderId="0" xfId="0"/>
    <xf numFmtId="0" fontId="8" fillId="0" borderId="0" xfId="0" applyFont="1" applyFill="1" applyBorder="1" applyAlignment="1">
      <alignment horizontal="centerContinuous"/>
    </xf>
    <xf numFmtId="164" fontId="8" fillId="0" borderId="0" xfId="1" applyNumberFormat="1" applyFont="1" applyFill="1" applyBorder="1" applyAlignment="1">
      <alignment horizontal="centerContinuous"/>
    </xf>
    <xf numFmtId="43" fontId="8" fillId="0" borderId="0" xfId="1" applyFont="1" applyFill="1" applyBorder="1" applyAlignment="1">
      <alignment horizontal="centerContinuous"/>
    </xf>
    <xf numFmtId="0" fontId="8" fillId="0" borderId="0" xfId="0" quotePrefix="1" applyFont="1" applyFill="1" applyBorder="1" applyAlignment="1">
      <alignment horizontal="centerContinuous"/>
    </xf>
    <xf numFmtId="0" fontId="8" fillId="0" borderId="0" xfId="0" applyFont="1" applyFill="1" applyBorder="1"/>
    <xf numFmtId="164" fontId="8" fillId="0" borderId="0" xfId="1" applyNumberFormat="1" applyFont="1" applyFill="1" applyBorder="1"/>
    <xf numFmtId="43" fontId="8" fillId="0" borderId="0" xfId="1" applyFont="1" applyFill="1" applyBorder="1"/>
    <xf numFmtId="164" fontId="8" fillId="0" borderId="0" xfId="1" quotePrefix="1" applyNumberFormat="1" applyFont="1" applyFill="1" applyBorder="1" applyAlignment="1">
      <alignment horizontal="center"/>
    </xf>
    <xf numFmtId="164" fontId="8" fillId="0" borderId="1" xfId="1" applyNumberFormat="1" applyFont="1" applyFill="1" applyBorder="1" applyAlignment="1">
      <alignment horizontal="center"/>
    </xf>
    <xf numFmtId="43" fontId="8" fillId="0" borderId="1" xfId="1" applyFont="1" applyFill="1" applyBorder="1" applyAlignment="1">
      <alignment horizontal="center"/>
    </xf>
    <xf numFmtId="0" fontId="8" fillId="0" borderId="0" xfId="0" quotePrefix="1" applyFont="1" applyFill="1" applyBorder="1" applyAlignment="1">
      <alignment horizontal="left"/>
    </xf>
    <xf numFmtId="0" fontId="8" fillId="0" borderId="0" xfId="0" applyFont="1" applyFill="1" applyBorder="1" applyAlignment="1">
      <alignment horizontal="left"/>
    </xf>
    <xf numFmtId="43" fontId="8" fillId="0" borderId="1" xfId="1" applyFont="1" applyFill="1" applyBorder="1"/>
    <xf numFmtId="0" fontId="10" fillId="0" borderId="0" xfId="0" quotePrefix="1" applyFont="1" applyFill="1" applyBorder="1" applyAlignment="1">
      <alignment horizontal="left"/>
    </xf>
    <xf numFmtId="43" fontId="9" fillId="0" borderId="0" xfId="1" applyFont="1" applyFill="1" applyBorder="1"/>
    <xf numFmtId="0" fontId="10" fillId="0" borderId="0" xfId="0" applyFont="1" applyFill="1" applyBorder="1"/>
    <xf numFmtId="43" fontId="9" fillId="0" borderId="0" xfId="1" applyFont="1" applyFill="1" applyBorder="1" applyAlignment="1">
      <alignment horizontal="center"/>
    </xf>
    <xf numFmtId="164" fontId="8" fillId="0" borderId="0" xfId="1" applyNumberFormat="1" applyFont="1" applyFill="1"/>
    <xf numFmtId="164" fontId="8" fillId="0" borderId="1" xfId="1" applyNumberFormat="1" applyFont="1" applyFill="1" applyBorder="1"/>
    <xf numFmtId="43" fontId="10" fillId="0" borderId="0" xfId="0" quotePrefix="1" applyNumberFormat="1" applyFont="1" applyFill="1" applyBorder="1" applyAlignment="1">
      <alignment horizontal="left"/>
    </xf>
    <xf numFmtId="43" fontId="8" fillId="0" borderId="0" xfId="0" applyNumberFormat="1" applyFont="1" applyFill="1" applyBorder="1"/>
    <xf numFmtId="43" fontId="8" fillId="0" borderId="2" xfId="1" applyFont="1" applyFill="1" applyBorder="1"/>
    <xf numFmtId="166" fontId="8" fillId="0" borderId="1" xfId="1" applyNumberFormat="1" applyFont="1" applyFill="1" applyBorder="1"/>
    <xf numFmtId="43" fontId="9" fillId="0" borderId="1" xfId="1" applyFont="1" applyFill="1" applyBorder="1"/>
    <xf numFmtId="0" fontId="8" fillId="0" borderId="0" xfId="0" applyFont="1" applyFill="1"/>
    <xf numFmtId="43" fontId="8" fillId="0" borderId="0" xfId="1" applyFont="1" applyFill="1"/>
    <xf numFmtId="0" fontId="12" fillId="0" borderId="0" xfId="0" applyFont="1" applyFill="1" applyBorder="1" applyAlignment="1">
      <alignment horizontal="left"/>
    </xf>
    <xf numFmtId="43" fontId="8" fillId="0" borderId="4" xfId="1" applyFont="1" applyFill="1" applyBorder="1"/>
    <xf numFmtId="43" fontId="8" fillId="0" borderId="0" xfId="1" quotePrefix="1" applyFont="1" applyFill="1" applyBorder="1" applyAlignment="1">
      <alignment horizontal="left"/>
    </xf>
    <xf numFmtId="43" fontId="8" fillId="0" borderId="3" xfId="1" applyFont="1" applyFill="1" applyBorder="1"/>
    <xf numFmtId="0" fontId="8" fillId="0" borderId="0" xfId="0" quotePrefix="1" applyFont="1" applyFill="1" applyAlignment="1">
      <alignment horizontal="left"/>
    </xf>
    <xf numFmtId="43" fontId="8" fillId="0" borderId="0" xfId="1" quotePrefix="1" applyFont="1" applyFill="1" applyBorder="1" applyAlignment="1">
      <alignment horizontal="center"/>
    </xf>
    <xf numFmtId="43" fontId="8" fillId="0" borderId="0" xfId="1" applyFont="1" applyFill="1" applyBorder="1" applyAlignment="1">
      <alignment horizontal="center"/>
    </xf>
    <xf numFmtId="43" fontId="8" fillId="0" borderId="0" xfId="1" quotePrefix="1" applyNumberFormat="1" applyFont="1" applyFill="1" applyAlignment="1">
      <alignment horizontal="left"/>
    </xf>
    <xf numFmtId="43" fontId="8" fillId="0" borderId="0" xfId="0" applyNumberFormat="1" applyFont="1" applyFill="1"/>
    <xf numFmtId="43" fontId="11" fillId="0" borderId="0" xfId="1" applyFont="1" applyFill="1" applyBorder="1"/>
    <xf numFmtId="49" fontId="8" fillId="0" borderId="0" xfId="0" quotePrefix="1" applyNumberFormat="1" applyFont="1" applyFill="1" applyAlignment="1">
      <alignment horizontal="left"/>
    </xf>
    <xf numFmtId="0" fontId="8" fillId="0" borderId="0" xfId="0" applyFont="1" applyFill="1" applyAlignment="1">
      <alignment horizontal="left"/>
    </xf>
    <xf numFmtId="0" fontId="8" fillId="0" borderId="1" xfId="0" applyFont="1" applyFill="1" applyBorder="1" applyAlignment="1">
      <alignment horizontal="left"/>
    </xf>
    <xf numFmtId="167" fontId="9" fillId="0" borderId="1" xfId="1" applyNumberFormat="1" applyFont="1" applyFill="1" applyBorder="1"/>
    <xf numFmtId="43" fontId="8" fillId="0" borderId="1" xfId="0" applyNumberFormat="1" applyFont="1" applyFill="1" applyBorder="1"/>
    <xf numFmtId="0" fontId="8" fillId="0" borderId="1" xfId="0" applyFont="1" applyFill="1" applyBorder="1" applyAlignment="1">
      <alignment horizontal="center"/>
    </xf>
    <xf numFmtId="43" fontId="13" fillId="0" borderId="0" xfId="1" applyFont="1" applyFill="1" applyBorder="1"/>
    <xf numFmtId="43" fontId="8" fillId="0" borderId="4" xfId="0" applyNumberFormat="1" applyFont="1" applyFill="1" applyBorder="1"/>
    <xf numFmtId="10" fontId="13" fillId="0" borderId="0" xfId="2" applyNumberFormat="1" applyFont="1" applyFill="1" applyBorder="1"/>
    <xf numFmtId="43" fontId="11" fillId="0" borderId="0" xfId="0" applyNumberFormat="1" applyFont="1" applyFill="1"/>
    <xf numFmtId="165" fontId="8" fillId="0" borderId="1" xfId="1" applyNumberFormat="1" applyFont="1" applyFill="1" applyBorder="1"/>
    <xf numFmtId="168" fontId="8" fillId="0" borderId="1" xfId="1" applyNumberFormat="1" applyFont="1" applyFill="1" applyBorder="1"/>
    <xf numFmtId="0" fontId="8" fillId="0" borderId="0" xfId="0" applyFont="1" applyFill="1" applyBorder="1" applyAlignment="1">
      <alignment horizontal="center"/>
    </xf>
    <xf numFmtId="43" fontId="8" fillId="0" borderId="0" xfId="1" applyNumberFormat="1" applyFont="1" applyFill="1"/>
    <xf numFmtId="0" fontId="11" fillId="0" borderId="0" xfId="0" applyFont="1" applyFill="1" applyBorder="1"/>
    <xf numFmtId="43" fontId="8" fillId="0" borderId="1" xfId="1" quotePrefix="1" applyFont="1" applyFill="1" applyBorder="1" applyAlignment="1"/>
    <xf numFmtId="166" fontId="9" fillId="0" borderId="1" xfId="1" applyNumberFormat="1" applyFont="1" applyFill="1" applyBorder="1"/>
    <xf numFmtId="43" fontId="9" fillId="0" borderId="1" xfId="1" quotePrefix="1" applyFont="1" applyFill="1" applyBorder="1" applyAlignment="1"/>
    <xf numFmtId="164" fontId="14" fillId="0" borderId="0" xfId="1" applyNumberFormat="1" applyFont="1" applyFill="1" applyBorder="1"/>
    <xf numFmtId="43" fontId="15" fillId="0" borderId="0" xfId="1" applyFont="1" applyFill="1" applyBorder="1"/>
    <xf numFmtId="43" fontId="9" fillId="0" borderId="0" xfId="1" applyFont="1" applyFill="1"/>
    <xf numFmtId="43" fontId="8" fillId="0" borderId="6" xfId="1" applyFont="1" applyFill="1" applyBorder="1"/>
    <xf numFmtId="43" fontId="8" fillId="0" borderId="7" xfId="0" applyNumberFormat="1" applyFont="1" applyFill="1" applyBorder="1"/>
    <xf numFmtId="0" fontId="8" fillId="0" borderId="8" xfId="0" quotePrefix="1" applyFont="1" applyFill="1" applyBorder="1" applyAlignment="1">
      <alignment horizontal="left"/>
    </xf>
    <xf numFmtId="43" fontId="8" fillId="0" borderId="9" xfId="0" applyNumberFormat="1" applyFont="1" applyFill="1" applyBorder="1" applyAlignment="1">
      <alignment horizontal="center"/>
    </xf>
    <xf numFmtId="0" fontId="8" fillId="0" borderId="8" xfId="0" applyFont="1" applyFill="1" applyBorder="1"/>
    <xf numFmtId="43" fontId="8" fillId="0" borderId="9" xfId="1" applyFont="1" applyFill="1" applyBorder="1"/>
    <xf numFmtId="0" fontId="8" fillId="0" borderId="10" xfId="0" applyFont="1" applyFill="1" applyBorder="1" applyAlignment="1">
      <alignment horizontal="left"/>
    </xf>
    <xf numFmtId="43" fontId="8" fillId="0" borderId="11" xfId="1" applyFont="1" applyFill="1" applyBorder="1"/>
    <xf numFmtId="43" fontId="8" fillId="0" borderId="12" xfId="1" applyFont="1" applyFill="1" applyBorder="1"/>
    <xf numFmtId="43" fontId="8" fillId="0" borderId="5" xfId="1" applyFont="1" applyFill="1" applyBorder="1" applyAlignment="1">
      <alignment horizontal="left"/>
    </xf>
    <xf numFmtId="0" fontId="8" fillId="3" borderId="0" xfId="0" applyFont="1" applyFill="1" applyBorder="1" applyAlignment="1">
      <alignment horizontal="centerContinuous"/>
    </xf>
    <xf numFmtId="43" fontId="8" fillId="3" borderId="0" xfId="1" applyFont="1" applyFill="1" applyBorder="1"/>
    <xf numFmtId="43" fontId="8" fillId="3" borderId="1" xfId="1" applyFont="1" applyFill="1" applyBorder="1"/>
    <xf numFmtId="43" fontId="9" fillId="3" borderId="0" xfId="1" applyFont="1" applyFill="1" applyBorder="1"/>
    <xf numFmtId="43" fontId="8" fillId="4" borderId="0" xfId="1" applyFont="1" applyFill="1" applyBorder="1"/>
    <xf numFmtId="43" fontId="8" fillId="4" borderId="3" xfId="1" applyFont="1" applyFill="1" applyBorder="1"/>
    <xf numFmtId="43" fontId="9" fillId="4" borderId="0" xfId="1" applyFont="1" applyFill="1" applyBorder="1"/>
    <xf numFmtId="43" fontId="8" fillId="4" borderId="1" xfId="1" applyFont="1" applyFill="1" applyBorder="1"/>
    <xf numFmtId="164" fontId="10" fillId="0" borderId="0" xfId="1" applyNumberFormat="1" applyFont="1" applyFill="1"/>
    <xf numFmtId="43" fontId="9" fillId="5" borderId="0" xfId="1" applyFont="1" applyFill="1" applyBorder="1"/>
    <xf numFmtId="43" fontId="8" fillId="5" borderId="0" xfId="1" applyFont="1" applyFill="1" applyBorder="1"/>
    <xf numFmtId="43" fontId="8" fillId="5" borderId="1" xfId="1" applyFont="1" applyFill="1" applyBorder="1"/>
    <xf numFmtId="43" fontId="11" fillId="5" borderId="0" xfId="0" applyNumberFormat="1" applyFont="1" applyFill="1"/>
    <xf numFmtId="43" fontId="8" fillId="5" borderId="0" xfId="1" applyFont="1" applyFill="1"/>
    <xf numFmtId="43" fontId="9" fillId="5" borderId="0" xfId="1" applyFont="1" applyFill="1"/>
    <xf numFmtId="43" fontId="9" fillId="5" borderId="1" xfId="1" applyFont="1" applyFill="1" applyBorder="1"/>
    <xf numFmtId="43" fontId="8" fillId="5" borderId="0" xfId="1" applyFont="1" applyFill="1" applyBorder="1" applyAlignment="1">
      <alignment horizontal="center"/>
    </xf>
    <xf numFmtId="43" fontId="8" fillId="6" borderId="0" xfId="1" applyFont="1" applyFill="1" applyBorder="1"/>
    <xf numFmtId="43" fontId="9" fillId="6" borderId="0" xfId="1" applyFont="1" applyFill="1" applyBorder="1"/>
    <xf numFmtId="164" fontId="8" fillId="0" borderId="0" xfId="4" applyNumberFormat="1" applyFont="1" applyFill="1" applyBorder="1" applyAlignment="1">
      <alignment horizontal="centerContinuous"/>
    </xf>
    <xf numFmtId="43" fontId="8" fillId="0" borderId="0" xfId="4" applyFont="1" applyFill="1" applyBorder="1" applyAlignment="1">
      <alignment horizontal="centerContinuous"/>
    </xf>
    <xf numFmtId="164" fontId="14" fillId="0" borderId="0" xfId="4" applyNumberFormat="1" applyFont="1" applyFill="1" applyBorder="1"/>
    <xf numFmtId="164" fontId="8" fillId="0" borderId="0" xfId="4" applyNumberFormat="1" applyFont="1" applyFill="1" applyBorder="1"/>
    <xf numFmtId="43" fontId="8" fillId="0" borderId="0" xfId="4" applyFont="1" applyFill="1" applyBorder="1"/>
    <xf numFmtId="164" fontId="8" fillId="0" borderId="0" xfId="4" quotePrefix="1" applyNumberFormat="1" applyFont="1" applyFill="1" applyBorder="1" applyAlignment="1">
      <alignment horizontal="center"/>
    </xf>
    <xf numFmtId="43" fontId="8" fillId="0" borderId="0" xfId="4" quotePrefix="1" applyFont="1" applyFill="1" applyBorder="1" applyAlignment="1">
      <alignment horizontal="center"/>
    </xf>
    <xf numFmtId="164" fontId="8" fillId="0" borderId="1" xfId="4" applyNumberFormat="1" applyFont="1" applyFill="1" applyBorder="1" applyAlignment="1">
      <alignment horizontal="center"/>
    </xf>
    <xf numFmtId="43" fontId="8" fillId="0" borderId="1" xfId="4" applyFont="1" applyFill="1" applyBorder="1" applyAlignment="1">
      <alignment horizontal="center"/>
    </xf>
    <xf numFmtId="43" fontId="9" fillId="0" borderId="0" xfId="4" applyFont="1" applyFill="1" applyBorder="1"/>
    <xf numFmtId="43" fontId="8" fillId="0" borderId="0" xfId="4" quotePrefix="1" applyNumberFormat="1" applyFont="1" applyFill="1" applyAlignment="1">
      <alignment horizontal="left"/>
    </xf>
    <xf numFmtId="43" fontId="8" fillId="0" borderId="1" xfId="4" applyFont="1" applyFill="1" applyBorder="1"/>
    <xf numFmtId="43" fontId="9" fillId="0" borderId="1" xfId="4" applyFont="1" applyFill="1" applyBorder="1"/>
    <xf numFmtId="43" fontId="8" fillId="0" borderId="0" xfId="4" applyFont="1" applyFill="1"/>
    <xf numFmtId="43" fontId="8" fillId="0" borderId="0" xfId="4" applyFont="1" applyFill="1" applyAlignment="1">
      <alignment horizontal="center"/>
    </xf>
    <xf numFmtId="43" fontId="8" fillId="0" borderId="0" xfId="0" applyNumberFormat="1" applyFont="1" applyFill="1" applyAlignment="1">
      <alignment horizontal="center"/>
    </xf>
    <xf numFmtId="43" fontId="15" fillId="0" borderId="0" xfId="4" applyFont="1" applyFill="1" applyBorder="1"/>
    <xf numFmtId="43" fontId="11" fillId="0" borderId="0" xfId="4" applyFont="1" applyFill="1" applyBorder="1"/>
    <xf numFmtId="43" fontId="8" fillId="0" borderId="2" xfId="4" applyFont="1" applyFill="1" applyBorder="1"/>
    <xf numFmtId="43" fontId="9" fillId="0" borderId="0" xfId="4" applyFont="1" applyFill="1"/>
    <xf numFmtId="43" fontId="8" fillId="0" borderId="0" xfId="4" applyFont="1" applyFill="1" applyBorder="1" applyAlignment="1">
      <alignment horizontal="center"/>
    </xf>
    <xf numFmtId="43" fontId="8" fillId="0" borderId="0" xfId="4" applyNumberFormat="1" applyFont="1" applyFill="1"/>
    <xf numFmtId="164" fontId="8" fillId="0" borderId="0" xfId="4" applyNumberFormat="1" applyFont="1" applyFill="1"/>
    <xf numFmtId="43" fontId="9" fillId="0" borderId="0" xfId="4" applyFont="1" applyFill="1" applyBorder="1" applyAlignment="1">
      <alignment horizontal="center"/>
    </xf>
    <xf numFmtId="164" fontId="8" fillId="0" borderId="1" xfId="4" applyNumberFormat="1" applyFont="1" applyFill="1" applyBorder="1"/>
    <xf numFmtId="166" fontId="8" fillId="0" borderId="1" xfId="4" applyNumberFormat="1" applyFont="1" applyFill="1" applyBorder="1"/>
    <xf numFmtId="166" fontId="9" fillId="0" borderId="1" xfId="4" applyNumberFormat="1" applyFont="1" applyFill="1" applyBorder="1"/>
    <xf numFmtId="165" fontId="8" fillId="0" borderId="1" xfId="4" applyNumberFormat="1" applyFont="1" applyFill="1" applyBorder="1"/>
    <xf numFmtId="168" fontId="8" fillId="0" borderId="1" xfId="4" applyNumberFormat="1" applyFont="1" applyFill="1" applyBorder="1"/>
    <xf numFmtId="167" fontId="9" fillId="0" borderId="1" xfId="4" applyNumberFormat="1" applyFont="1" applyFill="1" applyBorder="1"/>
    <xf numFmtId="43" fontId="8" fillId="0" borderId="1" xfId="4" quotePrefix="1" applyFont="1" applyFill="1" applyBorder="1" applyAlignment="1"/>
    <xf numFmtId="43" fontId="9" fillId="0" borderId="1" xfId="4" quotePrefix="1" applyFont="1" applyFill="1" applyBorder="1" applyAlignment="1"/>
    <xf numFmtId="43" fontId="13" fillId="0" borderId="0" xfId="4" applyFont="1" applyFill="1" applyBorder="1"/>
    <xf numFmtId="43" fontId="8" fillId="0" borderId="3" xfId="4" applyFont="1" applyFill="1" applyBorder="1"/>
    <xf numFmtId="43" fontId="8" fillId="0" borderId="4" xfId="4" applyFont="1" applyFill="1" applyBorder="1"/>
    <xf numFmtId="43" fontId="8" fillId="0" borderId="0" xfId="4" quotePrefix="1" applyFont="1" applyFill="1" applyBorder="1" applyAlignment="1">
      <alignment horizontal="left"/>
    </xf>
    <xf numFmtId="10" fontId="13" fillId="0" borderId="0" xfId="5" applyNumberFormat="1" applyFont="1" applyFill="1" applyBorder="1"/>
    <xf numFmtId="166" fontId="8" fillId="0" borderId="0" xfId="4" applyNumberFormat="1" applyFont="1" applyFill="1" applyBorder="1"/>
    <xf numFmtId="164" fontId="8" fillId="0" borderId="0" xfId="4" applyNumberFormat="1" applyFont="1" applyFill="1" applyBorder="1" applyAlignment="1">
      <alignment horizontal="center"/>
    </xf>
    <xf numFmtId="43" fontId="10" fillId="0" borderId="0" xfId="4" applyFont="1" applyFill="1" applyBorder="1"/>
    <xf numFmtId="0" fontId="8" fillId="0" borderId="0" xfId="6" applyFont="1" applyFill="1" applyBorder="1" applyAlignment="1">
      <alignment horizontal="centerContinuous"/>
    </xf>
    <xf numFmtId="164" fontId="8" fillId="0" borderId="0" xfId="7" applyNumberFormat="1" applyFont="1" applyFill="1" applyBorder="1" applyAlignment="1">
      <alignment horizontal="centerContinuous"/>
    </xf>
    <xf numFmtId="43" fontId="8" fillId="0" borderId="0" xfId="7" applyFont="1" applyFill="1" applyBorder="1" applyAlignment="1">
      <alignment horizontal="centerContinuous"/>
    </xf>
    <xf numFmtId="0" fontId="1" fillId="7" borderId="0" xfId="6" applyFill="1"/>
    <xf numFmtId="0" fontId="1" fillId="0" borderId="0" xfId="6"/>
    <xf numFmtId="0" fontId="8" fillId="0" borderId="0" xfId="6" quotePrefix="1" applyFont="1" applyFill="1" applyBorder="1" applyAlignment="1">
      <alignment horizontal="centerContinuous"/>
    </xf>
    <xf numFmtId="0" fontId="8" fillId="0" borderId="0" xfId="6" applyFont="1" applyFill="1" applyBorder="1"/>
    <xf numFmtId="164" fontId="8" fillId="0" borderId="0" xfId="7" applyNumberFormat="1" applyFont="1" applyFill="1" applyBorder="1"/>
    <xf numFmtId="43" fontId="8" fillId="0" borderId="0" xfId="7" applyFont="1" applyFill="1" applyBorder="1"/>
    <xf numFmtId="164" fontId="8" fillId="0" borderId="0" xfId="7" quotePrefix="1" applyNumberFormat="1" applyFont="1" applyFill="1" applyBorder="1" applyAlignment="1">
      <alignment horizontal="center"/>
    </xf>
    <xf numFmtId="164" fontId="8" fillId="0" borderId="1" xfId="7" applyNumberFormat="1" applyFont="1" applyFill="1" applyBorder="1" applyAlignment="1">
      <alignment horizontal="center"/>
    </xf>
    <xf numFmtId="43" fontId="8" fillId="0" borderId="1" xfId="7" applyFont="1" applyFill="1" applyBorder="1" applyAlignment="1">
      <alignment horizontal="center"/>
    </xf>
    <xf numFmtId="14" fontId="1" fillId="0" borderId="0" xfId="6" applyNumberFormat="1"/>
    <xf numFmtId="0" fontId="8" fillId="0" borderId="0" xfId="6" quotePrefix="1" applyFont="1" applyFill="1" applyBorder="1" applyAlignment="1">
      <alignment horizontal="left"/>
    </xf>
    <xf numFmtId="43" fontId="1" fillId="0" borderId="0" xfId="7" applyFont="1"/>
    <xf numFmtId="0" fontId="8" fillId="0" borderId="0" xfId="6" applyFont="1" applyFill="1" applyBorder="1" applyAlignment="1">
      <alignment horizontal="left"/>
    </xf>
    <xf numFmtId="43" fontId="8" fillId="0" borderId="1" xfId="7" applyFont="1" applyFill="1" applyBorder="1"/>
    <xf numFmtId="0" fontId="10" fillId="0" borderId="0" xfId="6" quotePrefix="1" applyFont="1" applyFill="1" applyBorder="1" applyAlignment="1">
      <alignment horizontal="left"/>
    </xf>
    <xf numFmtId="43" fontId="8" fillId="5" borderId="0" xfId="7" applyFont="1" applyFill="1" applyBorder="1"/>
    <xf numFmtId="43" fontId="1" fillId="0" borderId="2" xfId="7" applyFont="1" applyBorder="1"/>
    <xf numFmtId="43" fontId="9" fillId="0" borderId="0" xfId="7" applyFont="1" applyFill="1" applyBorder="1"/>
    <xf numFmtId="0" fontId="10" fillId="0" borderId="0" xfId="6" applyFont="1" applyFill="1" applyBorder="1"/>
    <xf numFmtId="43" fontId="1" fillId="0" borderId="0" xfId="7" applyFont="1" applyFill="1" applyBorder="1"/>
    <xf numFmtId="43" fontId="1" fillId="0" borderId="0" xfId="6" applyNumberFormat="1"/>
    <xf numFmtId="43" fontId="8" fillId="0" borderId="0" xfId="7" applyNumberFormat="1" applyFont="1" applyFill="1"/>
    <xf numFmtId="164" fontId="8" fillId="0" borderId="0" xfId="7" applyNumberFormat="1" applyFont="1" applyFill="1"/>
    <xf numFmtId="43" fontId="8" fillId="5" borderId="1" xfId="7" applyFont="1" applyFill="1" applyBorder="1"/>
    <xf numFmtId="164" fontId="8" fillId="0" borderId="1" xfId="7" applyNumberFormat="1" applyFont="1" applyFill="1" applyBorder="1"/>
    <xf numFmtId="43" fontId="10" fillId="0" borderId="0" xfId="6" quotePrefix="1" applyNumberFormat="1" applyFont="1" applyFill="1" applyBorder="1" applyAlignment="1">
      <alignment horizontal="left"/>
    </xf>
    <xf numFmtId="43" fontId="8" fillId="0" borderId="0" xfId="6" applyNumberFormat="1" applyFont="1" applyFill="1" applyBorder="1"/>
    <xf numFmtId="43" fontId="8" fillId="0" borderId="2" xfId="7" applyFont="1" applyFill="1" applyBorder="1"/>
    <xf numFmtId="43" fontId="8" fillId="5" borderId="2" xfId="7" applyFont="1" applyFill="1" applyBorder="1"/>
    <xf numFmtId="166" fontId="8" fillId="0" borderId="1" xfId="7" applyNumberFormat="1" applyFont="1" applyFill="1" applyBorder="1"/>
    <xf numFmtId="165" fontId="8" fillId="0" borderId="1" xfId="7" applyNumberFormat="1" applyFont="1" applyFill="1" applyBorder="1"/>
    <xf numFmtId="168" fontId="8" fillId="0" borderId="1" xfId="7" applyNumberFormat="1" applyFont="1" applyFill="1" applyBorder="1"/>
    <xf numFmtId="43" fontId="8" fillId="8" borderId="0" xfId="7" applyFont="1" applyFill="1" applyBorder="1"/>
    <xf numFmtId="0" fontId="8" fillId="0" borderId="0" xfId="6" applyFont="1" applyFill="1"/>
    <xf numFmtId="43" fontId="8" fillId="0" borderId="0" xfId="7" applyFont="1" applyFill="1"/>
    <xf numFmtId="43" fontId="8" fillId="0" borderId="1" xfId="7" quotePrefix="1" applyFont="1" applyFill="1" applyBorder="1" applyAlignment="1"/>
    <xf numFmtId="43" fontId="8" fillId="9" borderId="0" xfId="7" applyFont="1" applyFill="1" applyBorder="1"/>
    <xf numFmtId="0" fontId="12" fillId="0" borderId="0" xfId="6" applyFont="1" applyFill="1" applyBorder="1" applyAlignment="1">
      <alignment horizontal="left"/>
    </xf>
    <xf numFmtId="43" fontId="8" fillId="0" borderId="3" xfId="7" applyFont="1" applyFill="1" applyBorder="1"/>
    <xf numFmtId="0" fontId="11" fillId="0" borderId="0" xfId="6" applyFont="1" applyFill="1" applyBorder="1"/>
    <xf numFmtId="43" fontId="8" fillId="0" borderId="0" xfId="7" quotePrefix="1" applyFont="1" applyFill="1" applyBorder="1" applyAlignment="1">
      <alignment horizontal="left"/>
    </xf>
    <xf numFmtId="43" fontId="8" fillId="2" borderId="1" xfId="1" applyFont="1" applyFill="1" applyBorder="1"/>
    <xf numFmtId="43" fontId="9" fillId="2" borderId="0" xfId="1" applyFont="1" applyFill="1" applyBorder="1"/>
    <xf numFmtId="164" fontId="8" fillId="0" borderId="2" xfId="4" applyNumberFormat="1" applyFont="1" applyFill="1" applyBorder="1"/>
    <xf numFmtId="0" fontId="0" fillId="0" borderId="0" xfId="0" applyFill="1"/>
    <xf numFmtId="0" fontId="0" fillId="0" borderId="0" xfId="0" applyFill="1" applyAlignment="1">
      <alignment horizontal="center"/>
    </xf>
    <xf numFmtId="0" fontId="0" fillId="0" borderId="1" xfId="0" applyFill="1" applyBorder="1"/>
    <xf numFmtId="17" fontId="0" fillId="0" borderId="1" xfId="0" applyNumberFormat="1" applyFill="1" applyBorder="1" applyAlignment="1">
      <alignment horizontal="center"/>
    </xf>
    <xf numFmtId="16" fontId="0" fillId="0" borderId="1" xfId="0" applyNumberFormat="1" applyFill="1" applyBorder="1" applyAlignment="1">
      <alignment horizontal="center"/>
    </xf>
    <xf numFmtId="43" fontId="0" fillId="0" borderId="0" xfId="1" applyFont="1" applyFill="1"/>
    <xf numFmtId="43" fontId="0" fillId="0" borderId="2" xfId="0" applyNumberFormat="1" applyFill="1" applyBorder="1"/>
    <xf numFmtId="164" fontId="0" fillId="0" borderId="0" xfId="1" applyNumberFormat="1" applyFont="1" applyFill="1"/>
    <xf numFmtId="164" fontId="0" fillId="0" borderId="0" xfId="0" applyNumberFormat="1" applyFill="1"/>
    <xf numFmtId="164" fontId="0" fillId="0" borderId="2" xfId="1" applyNumberFormat="1" applyFont="1" applyFill="1" applyBorder="1"/>
  </cellXfs>
  <cellStyles count="8">
    <cellStyle name="Comma" xfId="1" builtinId="3"/>
    <cellStyle name="Comma 2" xfId="4"/>
    <cellStyle name="Comma 3" xfId="7"/>
    <cellStyle name="Normal" xfId="0" builtinId="0"/>
    <cellStyle name="Normal 2" xfId="3"/>
    <cellStyle name="Normal 3" xfId="6"/>
    <cellStyle name="Percent" xfId="2" builtinId="5"/>
    <cellStyle name="Percent 2" xfId="5"/>
  </cellStyles>
  <dxfs count="0"/>
  <tableStyles count="0" defaultTableStyle="TableStyleMedium9" defaultPivotStyle="PivotStyleLight16"/>
  <colors>
    <mruColors>
      <color rgb="FFFF99FF"/>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d%20data/Workgroups/FPC%20AFT/Critical/Financial%20&amp;%20Regulatory%20Reporting/Taxes/Income%20Taxes/Reports%202010/Sch60sup2-1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d%20data/Workgroups/FPC%20AFT/Critical/Financial%20&amp;%20Regulatory%20Reporting/Taxes/Income%20Taxes/Reports%202010/Sch4A-12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hared%20data/Workgroups/FPC%20AFT/Critical/Financial%20&amp;%20Regulatory%20Reporting/Taxes/Income%20Taxes/Reports%202010/Sch60A-12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hared%20data/Workgroups/FPC%20AFT/Critical/Financial%20&amp;%20Regulatory%20Reporting/Taxes/Income%20Taxes/Reports%202010/Sch60sup2-03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ared%20data/Workgroups/FPC%20AFT/Critical/Financial%20&amp;%20Regulatory%20Reporting/Taxes/Income%20Taxes/Reports%202010/Sch4a-0320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hared%20data/Workgroups/FPC%20AFT/Critical/Financial%20&amp;%20Regulatory%20Reporting/Taxes/Income%20Taxes/Reports%202010/sch60a-0320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ch4A-0320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ch60A-03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cedure"/>
      <sheetName val="Dec"/>
      <sheetName val="Dec without Timing"/>
      <sheetName val="SOFIA"/>
      <sheetName val="Perm M-items"/>
    </sheetNames>
    <sheetDataSet>
      <sheetData sheetId="0" refreshError="1"/>
      <sheetData sheetId="1"/>
      <sheetData sheetId="2" refreshError="1"/>
      <sheetData sheetId="3">
        <row r="2">
          <cell r="C2">
            <v>0</v>
          </cell>
        </row>
        <row r="3">
          <cell r="C3">
            <v>0</v>
          </cell>
        </row>
        <row r="4">
          <cell r="C4">
            <v>-1539444</v>
          </cell>
        </row>
        <row r="5">
          <cell r="C5">
            <v>-4356</v>
          </cell>
        </row>
        <row r="6">
          <cell r="C6">
            <v>0</v>
          </cell>
        </row>
        <row r="7">
          <cell r="C7">
            <v>0</v>
          </cell>
        </row>
        <row r="8">
          <cell r="C8">
            <v>-7212816.3499999996</v>
          </cell>
        </row>
        <row r="9">
          <cell r="C9">
            <v>126152.5</v>
          </cell>
        </row>
        <row r="10">
          <cell r="C10">
            <v>-485267.95</v>
          </cell>
        </row>
        <row r="11">
          <cell r="C11">
            <v>-518410.05</v>
          </cell>
        </row>
      </sheetData>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ch 4A"/>
      <sheetName val="Procedure"/>
      <sheetName val="Dec Audit"/>
      <sheetName val="Dec Audit Amort"/>
      <sheetName val="Nov Audit"/>
      <sheetName val="Nov Audit Amort"/>
      <sheetName val="Oct Audit"/>
      <sheetName val="Oct Audit Amort"/>
      <sheetName val="Sep Audit"/>
      <sheetName val="Sep Audit Amort"/>
      <sheetName val="Aug Audit"/>
      <sheetName val="July Audit"/>
      <sheetName val="July Audit Amort"/>
      <sheetName val="June Audit"/>
      <sheetName val="June Audit Amort."/>
      <sheetName val="May Audit"/>
      <sheetName val="May Audit Amort."/>
    </sheetNames>
    <sheetDataSet>
      <sheetData sheetId="0">
        <row r="41">
          <cell r="D41">
            <v>-17707916.5</v>
          </cell>
        </row>
        <row r="42">
          <cell r="D42">
            <v>4172410.27</v>
          </cell>
        </row>
        <row r="43">
          <cell r="D43">
            <v>167338935.16</v>
          </cell>
        </row>
        <row r="44">
          <cell r="D44">
            <v>21969813.100000001</v>
          </cell>
        </row>
        <row r="45">
          <cell r="D45">
            <v>-86294424.299999997</v>
          </cell>
        </row>
        <row r="46">
          <cell r="D46">
            <v>-17965218.91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ch 60A"/>
      <sheetName val="Procedure"/>
      <sheetName val="Audit"/>
      <sheetName val="Dec2009"/>
      <sheetName val="Nov2009"/>
      <sheetName val="Oct2009"/>
      <sheetName val="Jun2009"/>
    </sheetNames>
    <sheetDataSet>
      <sheetData sheetId="0">
        <row r="128">
          <cell r="F128">
            <v>-2088544.4299999997</v>
          </cell>
        </row>
        <row r="130">
          <cell r="F130">
            <v>26699705.309999999</v>
          </cell>
        </row>
        <row r="131">
          <cell r="F131">
            <v>100570717.51000001</v>
          </cell>
        </row>
        <row r="132">
          <cell r="F132">
            <v>0</v>
          </cell>
        </row>
        <row r="133">
          <cell r="F133">
            <v>5198144.78</v>
          </cell>
        </row>
        <row r="134">
          <cell r="F134">
            <v>171199.51</v>
          </cell>
        </row>
        <row r="135">
          <cell r="F135">
            <v>8096524.0600000005</v>
          </cell>
        </row>
        <row r="136">
          <cell r="F136">
            <v>6519472.79</v>
          </cell>
        </row>
        <row r="137">
          <cell r="F137">
            <v>25765531.990000002</v>
          </cell>
        </row>
        <row r="138">
          <cell r="F138">
            <v>0</v>
          </cell>
        </row>
        <row r="141">
          <cell r="F141">
            <v>-1225036</v>
          </cell>
        </row>
        <row r="142">
          <cell r="F142">
            <v>-36289661.439999998</v>
          </cell>
        </row>
        <row r="143">
          <cell r="F143">
            <v>-991479</v>
          </cell>
        </row>
        <row r="144">
          <cell r="F144">
            <v>-7272877.9699999997</v>
          </cell>
        </row>
        <row r="145">
          <cell r="F145">
            <v>-1783871.36</v>
          </cell>
        </row>
        <row r="146">
          <cell r="F146">
            <v>-14541682.600000001</v>
          </cell>
        </row>
        <row r="147">
          <cell r="F147">
            <v>-5422885.0499999998</v>
          </cell>
        </row>
        <row r="148">
          <cell r="F148">
            <v>-31888676.990000002</v>
          </cell>
        </row>
        <row r="151">
          <cell r="F151">
            <v>10057.640000000001</v>
          </cell>
        </row>
        <row r="152">
          <cell r="F152">
            <v>-13188.76</v>
          </cell>
        </row>
        <row r="153">
          <cell r="F153">
            <v>626.87</v>
          </cell>
        </row>
        <row r="154">
          <cell r="F154">
            <v>-478.04</v>
          </cell>
        </row>
        <row r="157">
          <cell r="F157">
            <v>-11446961.800000001</v>
          </cell>
        </row>
        <row r="158">
          <cell r="F158">
            <v>16276767.800000001</v>
          </cell>
        </row>
        <row r="159">
          <cell r="F159">
            <v>-4829806</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07 vs 2006"/>
      <sheetName val="Procedure"/>
      <sheetName val="Mar"/>
      <sheetName val="Mar without Timing"/>
      <sheetName val="SOFIA"/>
      <sheetName val="409.410.411"/>
      <sheetName val="Rpt51040"/>
      <sheetName val="Jan YTD BUD wout Timing"/>
      <sheetName val="Act vs Bud YTD"/>
    </sheetNames>
    <sheetDataSet>
      <sheetData sheetId="0" refreshError="1"/>
      <sheetData sheetId="1" refreshError="1"/>
      <sheetData sheetId="2"/>
      <sheetData sheetId="3" refreshError="1"/>
      <sheetData sheetId="4">
        <row r="2">
          <cell r="C2">
            <v>0</v>
          </cell>
        </row>
        <row r="3">
          <cell r="C3">
            <v>0</v>
          </cell>
        </row>
        <row r="4">
          <cell r="C4">
            <v>-384861</v>
          </cell>
        </row>
        <row r="5">
          <cell r="C5">
            <v>-1089</v>
          </cell>
        </row>
        <row r="6">
          <cell r="C6">
            <v>0</v>
          </cell>
        </row>
        <row r="7">
          <cell r="C7">
            <v>0</v>
          </cell>
        </row>
        <row r="8">
          <cell r="C8">
            <v>-1385077.13</v>
          </cell>
        </row>
        <row r="9">
          <cell r="C9">
            <v>31094.6</v>
          </cell>
        </row>
        <row r="10">
          <cell r="C10">
            <v>-250919.53</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A"/>
      <sheetName val="Procedure"/>
      <sheetName val="Audit Trail"/>
      <sheetName val="Audit Trail Updated"/>
      <sheetName val="CASPRIII"/>
    </sheetNames>
    <sheetDataSet>
      <sheetData sheetId="0">
        <row r="47">
          <cell r="D47">
            <v>10893429.640000001</v>
          </cell>
        </row>
        <row r="48">
          <cell r="D48">
            <v>1252269.3800000001</v>
          </cell>
        </row>
        <row r="50">
          <cell r="D50">
            <v>15497462.91</v>
          </cell>
        </row>
        <row r="51">
          <cell r="D51">
            <v>2522887.79</v>
          </cell>
        </row>
        <row r="53">
          <cell r="D53">
            <v>-13185561.42</v>
          </cell>
        </row>
        <row r="54">
          <cell r="D54">
            <v>-1917548.86</v>
          </cell>
        </row>
      </sheetData>
      <sheetData sheetId="1"/>
      <sheetData sheetId="2"/>
      <sheetData sheetId="3"/>
      <sheetData sheetId="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60A"/>
      <sheetName val="Procedure"/>
      <sheetName val="XCEL_1"/>
      <sheetName val="caspr"/>
    </sheetNames>
    <sheetDataSet>
      <sheetData sheetId="0">
        <row r="9">
          <cell r="E9">
            <v>1464740.36</v>
          </cell>
          <cell r="F9">
            <v>-212470.98</v>
          </cell>
          <cell r="G9">
            <v>10893429.640000001</v>
          </cell>
        </row>
        <row r="28">
          <cell r="E28">
            <v>2522887.79</v>
          </cell>
          <cell r="F28">
            <v>0</v>
          </cell>
          <cell r="G28">
            <v>15497281.92</v>
          </cell>
        </row>
        <row r="40">
          <cell r="E40">
            <v>-1914821.18</v>
          </cell>
          <cell r="F40">
            <v>-2210.5700000000002</v>
          </cell>
          <cell r="G40">
            <v>-13182270.77</v>
          </cell>
        </row>
        <row r="47">
          <cell r="E47">
            <v>-517.11</v>
          </cell>
          <cell r="F47">
            <v>0</v>
          </cell>
          <cell r="G47">
            <v>-3109.66</v>
          </cell>
        </row>
      </sheetData>
      <sheetData sheetId="1"/>
      <sheetData sheetId="2"/>
      <sheetData sheetId="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ch 4A"/>
      <sheetName val="Procedure"/>
      <sheetName val="Mar Audit"/>
      <sheetName val="Mar Audit Amort"/>
      <sheetName val="Feb Audit"/>
      <sheetName val="Feb Audit Amort"/>
      <sheetName val="Jan Audit"/>
      <sheetName val="Jan Audit Amort"/>
      <sheetName val="Dec Audit"/>
      <sheetName val="Dec Audit Amort"/>
    </sheetNames>
    <sheetDataSet>
      <sheetData sheetId="0">
        <row r="41">
          <cell r="D41">
            <v>-2944709.51</v>
          </cell>
        </row>
        <row r="42">
          <cell r="D42">
            <v>-745625.64</v>
          </cell>
        </row>
        <row r="43">
          <cell r="D43">
            <v>31709113.789999999</v>
          </cell>
        </row>
        <row r="44">
          <cell r="D44">
            <v>5538366.2199999997</v>
          </cell>
        </row>
        <row r="45">
          <cell r="D45">
            <v>-22758866.420000002</v>
          </cell>
        </row>
        <row r="46">
          <cell r="D46">
            <v>-4038894.07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ch 60A"/>
      <sheetName val="Procedure"/>
      <sheetName val="Audit"/>
      <sheetName val="Mar2010"/>
      <sheetName val="Feb2010"/>
      <sheetName val="Jan2010"/>
      <sheetName val="Dec2009"/>
      <sheetName val="Nov2009"/>
      <sheetName val="Oct2009"/>
      <sheetName val="Jun2009"/>
    </sheetNames>
    <sheetDataSet>
      <sheetData sheetId="0">
        <row r="128">
          <cell r="F128">
            <v>-14469982.540000001</v>
          </cell>
        </row>
        <row r="130">
          <cell r="F130">
            <v>5611122.1500000004</v>
          </cell>
        </row>
        <row r="131">
          <cell r="F131">
            <v>21929120.91</v>
          </cell>
        </row>
        <row r="132">
          <cell r="F132">
            <v>0</v>
          </cell>
        </row>
        <row r="133">
          <cell r="F133">
            <v>1408798.74</v>
          </cell>
        </row>
        <row r="134">
          <cell r="F134">
            <v>8117.55</v>
          </cell>
        </row>
        <row r="135">
          <cell r="F135">
            <v>2680358.0100000002</v>
          </cell>
        </row>
        <row r="136">
          <cell r="F136">
            <v>1001668.95</v>
          </cell>
        </row>
        <row r="137">
          <cell r="F137">
            <v>4607975.3599999994</v>
          </cell>
        </row>
        <row r="138">
          <cell r="F138">
            <v>0</v>
          </cell>
        </row>
        <row r="141">
          <cell r="F141">
            <v>-264949.08</v>
          </cell>
        </row>
        <row r="142">
          <cell r="F142">
            <v>-2286360.0300000003</v>
          </cell>
        </row>
        <row r="143">
          <cell r="F143">
            <v>-231856.98</v>
          </cell>
        </row>
        <row r="144">
          <cell r="F144">
            <v>-1936502.01</v>
          </cell>
        </row>
        <row r="145">
          <cell r="F145">
            <v>-512252.81999999995</v>
          </cell>
        </row>
        <row r="146">
          <cell r="F146">
            <v>-3386250</v>
          </cell>
        </row>
        <row r="147">
          <cell r="F147">
            <v>-1413416.9400000002</v>
          </cell>
        </row>
        <row r="148">
          <cell r="F148">
            <v>-5982603</v>
          </cell>
        </row>
        <row r="151">
          <cell r="F151">
            <v>132.22</v>
          </cell>
        </row>
        <row r="152">
          <cell r="F152">
            <v>-3915.96</v>
          </cell>
        </row>
        <row r="153">
          <cell r="F153">
            <v>186.12</v>
          </cell>
        </row>
        <row r="154">
          <cell r="F154">
            <v>-6.28</v>
          </cell>
        </row>
        <row r="157">
          <cell r="F157">
            <v>10779647.390000001</v>
          </cell>
        </row>
        <row r="158">
          <cell r="F158">
            <v>0</v>
          </cell>
        </row>
        <row r="159">
          <cell r="F159">
            <v>-10779647.390000001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AK81"/>
  <sheetViews>
    <sheetView view="pageBreakPreview" zoomScale="60" zoomScaleNormal="100" workbookViewId="0">
      <pane xSplit="1" ySplit="7" topLeftCell="X50" activePane="bottomRight" state="frozen"/>
      <selection pane="topRight" activeCell="B1" sqref="B1"/>
      <selection pane="bottomLeft" activeCell="A8" sqref="A8"/>
      <selection pane="bottomRight" activeCell="Y81" sqref="Y81"/>
    </sheetView>
  </sheetViews>
  <sheetFormatPr defaultRowHeight="15"/>
  <cols>
    <col min="1" max="1" width="37.375" style="131" customWidth="1"/>
    <col min="2" max="2" width="18.875" style="131" customWidth="1"/>
    <col min="3" max="3" width="18.125" style="131" customWidth="1"/>
    <col min="4" max="4" width="17.75" style="131" customWidth="1"/>
    <col min="5" max="5" width="17.25" style="131" customWidth="1"/>
    <col min="6" max="6" width="18" style="131" customWidth="1"/>
    <col min="7" max="8" width="2.375" style="130" customWidth="1"/>
    <col min="9" max="9" width="37.375" style="131" customWidth="1"/>
    <col min="10" max="14" width="17.25" style="131" customWidth="1"/>
    <col min="15" max="16" width="2.375" style="130" customWidth="1"/>
    <col min="17" max="17" width="37.375" style="131" customWidth="1"/>
    <col min="18" max="22" width="17.25" style="131" customWidth="1"/>
    <col min="23" max="24" width="2.375" style="130" customWidth="1"/>
    <col min="25" max="25" width="37.375" style="131" customWidth="1"/>
    <col min="26" max="26" width="18.125" style="131" customWidth="1"/>
    <col min="27" max="28" width="18.25" style="131" customWidth="1"/>
    <col min="29" max="29" width="17.25" style="131" customWidth="1"/>
    <col min="30" max="30" width="18.125" style="131" customWidth="1"/>
    <col min="31" max="31" width="15.5" style="131" bestFit="1" customWidth="1"/>
    <col min="32" max="32" width="13.75" style="131" bestFit="1" customWidth="1"/>
    <col min="33" max="33" width="9.125" style="131" bestFit="1" customWidth="1"/>
    <col min="34" max="35" width="15.5" style="131" bestFit="1" customWidth="1"/>
    <col min="36" max="37" width="13.125" style="131" bestFit="1" customWidth="1"/>
    <col min="38" max="256" width="9" style="131"/>
    <col min="257" max="257" width="37.375" style="131" customWidth="1"/>
    <col min="258" max="262" width="17.25" style="131" customWidth="1"/>
    <col min="263" max="264" width="2.375" style="131" customWidth="1"/>
    <col min="265" max="265" width="37.375" style="131" customWidth="1"/>
    <col min="266" max="270" width="17.25" style="131" customWidth="1"/>
    <col min="271" max="272" width="2.375" style="131" customWidth="1"/>
    <col min="273" max="273" width="37.375" style="131" customWidth="1"/>
    <col min="274" max="278" width="17.25" style="131" customWidth="1"/>
    <col min="279" max="280" width="2.375" style="131" customWidth="1"/>
    <col min="281" max="281" width="37.375" style="131" customWidth="1"/>
    <col min="282" max="285" width="17.25" style="131" customWidth="1"/>
    <col min="286" max="286" width="18.125" style="131" customWidth="1"/>
    <col min="287" max="287" width="15.5" style="131" bestFit="1" customWidth="1"/>
    <col min="288" max="288" width="13.75" style="131" bestFit="1" customWidth="1"/>
    <col min="289" max="289" width="9.125" style="131" bestFit="1" customWidth="1"/>
    <col min="290" max="291" width="15.5" style="131" bestFit="1" customWidth="1"/>
    <col min="292" max="293" width="13.125" style="131" bestFit="1" customWidth="1"/>
    <col min="294" max="512" width="9" style="131"/>
    <col min="513" max="513" width="37.375" style="131" customWidth="1"/>
    <col min="514" max="518" width="17.25" style="131" customWidth="1"/>
    <col min="519" max="520" width="2.375" style="131" customWidth="1"/>
    <col min="521" max="521" width="37.375" style="131" customWidth="1"/>
    <col min="522" max="526" width="17.25" style="131" customWidth="1"/>
    <col min="527" max="528" width="2.375" style="131" customWidth="1"/>
    <col min="529" max="529" width="37.375" style="131" customWidth="1"/>
    <col min="530" max="534" width="17.25" style="131" customWidth="1"/>
    <col min="535" max="536" width="2.375" style="131" customWidth="1"/>
    <col min="537" max="537" width="37.375" style="131" customWidth="1"/>
    <col min="538" max="541" width="17.25" style="131" customWidth="1"/>
    <col min="542" max="542" width="18.125" style="131" customWidth="1"/>
    <col min="543" max="543" width="15.5" style="131" bestFit="1" customWidth="1"/>
    <col min="544" max="544" width="13.75" style="131" bestFit="1" customWidth="1"/>
    <col min="545" max="545" width="9.125" style="131" bestFit="1" customWidth="1"/>
    <col min="546" max="547" width="15.5" style="131" bestFit="1" customWidth="1"/>
    <col min="548" max="549" width="13.125" style="131" bestFit="1" customWidth="1"/>
    <col min="550" max="768" width="9" style="131"/>
    <col min="769" max="769" width="37.375" style="131" customWidth="1"/>
    <col min="770" max="774" width="17.25" style="131" customWidth="1"/>
    <col min="775" max="776" width="2.375" style="131" customWidth="1"/>
    <col min="777" max="777" width="37.375" style="131" customWidth="1"/>
    <col min="778" max="782" width="17.25" style="131" customWidth="1"/>
    <col min="783" max="784" width="2.375" style="131" customWidth="1"/>
    <col min="785" max="785" width="37.375" style="131" customWidth="1"/>
    <col min="786" max="790" width="17.25" style="131" customWidth="1"/>
    <col min="791" max="792" width="2.375" style="131" customWidth="1"/>
    <col min="793" max="793" width="37.375" style="131" customWidth="1"/>
    <col min="794" max="797" width="17.25" style="131" customWidth="1"/>
    <col min="798" max="798" width="18.125" style="131" customWidth="1"/>
    <col min="799" max="799" width="15.5" style="131" bestFit="1" customWidth="1"/>
    <col min="800" max="800" width="13.75" style="131" bestFit="1" customWidth="1"/>
    <col min="801" max="801" width="9.125" style="131" bestFit="1" customWidth="1"/>
    <col min="802" max="803" width="15.5" style="131" bestFit="1" customWidth="1"/>
    <col min="804" max="805" width="13.125" style="131" bestFit="1" customWidth="1"/>
    <col min="806" max="1024" width="9" style="131"/>
    <col min="1025" max="1025" width="37.375" style="131" customWidth="1"/>
    <col min="1026" max="1030" width="17.25" style="131" customWidth="1"/>
    <col min="1031" max="1032" width="2.375" style="131" customWidth="1"/>
    <col min="1033" max="1033" width="37.375" style="131" customWidth="1"/>
    <col min="1034" max="1038" width="17.25" style="131" customWidth="1"/>
    <col min="1039" max="1040" width="2.375" style="131" customWidth="1"/>
    <col min="1041" max="1041" width="37.375" style="131" customWidth="1"/>
    <col min="1042" max="1046" width="17.25" style="131" customWidth="1"/>
    <col min="1047" max="1048" width="2.375" style="131" customWidth="1"/>
    <col min="1049" max="1049" width="37.375" style="131" customWidth="1"/>
    <col min="1050" max="1053" width="17.25" style="131" customWidth="1"/>
    <col min="1054" max="1054" width="18.125" style="131" customWidth="1"/>
    <col min="1055" max="1055" width="15.5" style="131" bestFit="1" customWidth="1"/>
    <col min="1056" max="1056" width="13.75" style="131" bestFit="1" customWidth="1"/>
    <col min="1057" max="1057" width="9.125" style="131" bestFit="1" customWidth="1"/>
    <col min="1058" max="1059" width="15.5" style="131" bestFit="1" customWidth="1"/>
    <col min="1060" max="1061" width="13.125" style="131" bestFit="1" customWidth="1"/>
    <col min="1062" max="1280" width="9" style="131"/>
    <col min="1281" max="1281" width="37.375" style="131" customWidth="1"/>
    <col min="1282" max="1286" width="17.25" style="131" customWidth="1"/>
    <col min="1287" max="1288" width="2.375" style="131" customWidth="1"/>
    <col min="1289" max="1289" width="37.375" style="131" customWidth="1"/>
    <col min="1290" max="1294" width="17.25" style="131" customWidth="1"/>
    <col min="1295" max="1296" width="2.375" style="131" customWidth="1"/>
    <col min="1297" max="1297" width="37.375" style="131" customWidth="1"/>
    <col min="1298" max="1302" width="17.25" style="131" customWidth="1"/>
    <col min="1303" max="1304" width="2.375" style="131" customWidth="1"/>
    <col min="1305" max="1305" width="37.375" style="131" customWidth="1"/>
    <col min="1306" max="1309" width="17.25" style="131" customWidth="1"/>
    <col min="1310" max="1310" width="18.125" style="131" customWidth="1"/>
    <col min="1311" max="1311" width="15.5" style="131" bestFit="1" customWidth="1"/>
    <col min="1312" max="1312" width="13.75" style="131" bestFit="1" customWidth="1"/>
    <col min="1313" max="1313" width="9.125" style="131" bestFit="1" customWidth="1"/>
    <col min="1314" max="1315" width="15.5" style="131" bestFit="1" customWidth="1"/>
    <col min="1316" max="1317" width="13.125" style="131" bestFit="1" customWidth="1"/>
    <col min="1318" max="1536" width="9" style="131"/>
    <col min="1537" max="1537" width="37.375" style="131" customWidth="1"/>
    <col min="1538" max="1542" width="17.25" style="131" customWidth="1"/>
    <col min="1543" max="1544" width="2.375" style="131" customWidth="1"/>
    <col min="1545" max="1545" width="37.375" style="131" customWidth="1"/>
    <col min="1546" max="1550" width="17.25" style="131" customWidth="1"/>
    <col min="1551" max="1552" width="2.375" style="131" customWidth="1"/>
    <col min="1553" max="1553" width="37.375" style="131" customWidth="1"/>
    <col min="1554" max="1558" width="17.25" style="131" customWidth="1"/>
    <col min="1559" max="1560" width="2.375" style="131" customWidth="1"/>
    <col min="1561" max="1561" width="37.375" style="131" customWidth="1"/>
    <col min="1562" max="1565" width="17.25" style="131" customWidth="1"/>
    <col min="1566" max="1566" width="18.125" style="131" customWidth="1"/>
    <col min="1567" max="1567" width="15.5" style="131" bestFit="1" customWidth="1"/>
    <col min="1568" max="1568" width="13.75" style="131" bestFit="1" customWidth="1"/>
    <col min="1569" max="1569" width="9.125" style="131" bestFit="1" customWidth="1"/>
    <col min="1570" max="1571" width="15.5" style="131" bestFit="1" customWidth="1"/>
    <col min="1572" max="1573" width="13.125" style="131" bestFit="1" customWidth="1"/>
    <col min="1574" max="1792" width="9" style="131"/>
    <col min="1793" max="1793" width="37.375" style="131" customWidth="1"/>
    <col min="1794" max="1798" width="17.25" style="131" customWidth="1"/>
    <col min="1799" max="1800" width="2.375" style="131" customWidth="1"/>
    <col min="1801" max="1801" width="37.375" style="131" customWidth="1"/>
    <col min="1802" max="1806" width="17.25" style="131" customWidth="1"/>
    <col min="1807" max="1808" width="2.375" style="131" customWidth="1"/>
    <col min="1809" max="1809" width="37.375" style="131" customWidth="1"/>
    <col min="1810" max="1814" width="17.25" style="131" customWidth="1"/>
    <col min="1815" max="1816" width="2.375" style="131" customWidth="1"/>
    <col min="1817" max="1817" width="37.375" style="131" customWidth="1"/>
    <col min="1818" max="1821" width="17.25" style="131" customWidth="1"/>
    <col min="1822" max="1822" width="18.125" style="131" customWidth="1"/>
    <col min="1823" max="1823" width="15.5" style="131" bestFit="1" customWidth="1"/>
    <col min="1824" max="1824" width="13.75" style="131" bestFit="1" customWidth="1"/>
    <col min="1825" max="1825" width="9.125" style="131" bestFit="1" customWidth="1"/>
    <col min="1826" max="1827" width="15.5" style="131" bestFit="1" customWidth="1"/>
    <col min="1828" max="1829" width="13.125" style="131" bestFit="1" customWidth="1"/>
    <col min="1830" max="2048" width="9" style="131"/>
    <col min="2049" max="2049" width="37.375" style="131" customWidth="1"/>
    <col min="2050" max="2054" width="17.25" style="131" customWidth="1"/>
    <col min="2055" max="2056" width="2.375" style="131" customWidth="1"/>
    <col min="2057" max="2057" width="37.375" style="131" customWidth="1"/>
    <col min="2058" max="2062" width="17.25" style="131" customWidth="1"/>
    <col min="2063" max="2064" width="2.375" style="131" customWidth="1"/>
    <col min="2065" max="2065" width="37.375" style="131" customWidth="1"/>
    <col min="2066" max="2070" width="17.25" style="131" customWidth="1"/>
    <col min="2071" max="2072" width="2.375" style="131" customWidth="1"/>
    <col min="2073" max="2073" width="37.375" style="131" customWidth="1"/>
    <col min="2074" max="2077" width="17.25" style="131" customWidth="1"/>
    <col min="2078" max="2078" width="18.125" style="131" customWidth="1"/>
    <col min="2079" max="2079" width="15.5" style="131" bestFit="1" customWidth="1"/>
    <col min="2080" max="2080" width="13.75" style="131" bestFit="1" customWidth="1"/>
    <col min="2081" max="2081" width="9.125" style="131" bestFit="1" customWidth="1"/>
    <col min="2082" max="2083" width="15.5" style="131" bestFit="1" customWidth="1"/>
    <col min="2084" max="2085" width="13.125" style="131" bestFit="1" customWidth="1"/>
    <col min="2086" max="2304" width="9" style="131"/>
    <col min="2305" max="2305" width="37.375" style="131" customWidth="1"/>
    <col min="2306" max="2310" width="17.25" style="131" customWidth="1"/>
    <col min="2311" max="2312" width="2.375" style="131" customWidth="1"/>
    <col min="2313" max="2313" width="37.375" style="131" customWidth="1"/>
    <col min="2314" max="2318" width="17.25" style="131" customWidth="1"/>
    <col min="2319" max="2320" width="2.375" style="131" customWidth="1"/>
    <col min="2321" max="2321" width="37.375" style="131" customWidth="1"/>
    <col min="2322" max="2326" width="17.25" style="131" customWidth="1"/>
    <col min="2327" max="2328" width="2.375" style="131" customWidth="1"/>
    <col min="2329" max="2329" width="37.375" style="131" customWidth="1"/>
    <col min="2330" max="2333" width="17.25" style="131" customWidth="1"/>
    <col min="2334" max="2334" width="18.125" style="131" customWidth="1"/>
    <col min="2335" max="2335" width="15.5" style="131" bestFit="1" customWidth="1"/>
    <col min="2336" max="2336" width="13.75" style="131" bestFit="1" customWidth="1"/>
    <col min="2337" max="2337" width="9.125" style="131" bestFit="1" customWidth="1"/>
    <col min="2338" max="2339" width="15.5" style="131" bestFit="1" customWidth="1"/>
    <col min="2340" max="2341" width="13.125" style="131" bestFit="1" customWidth="1"/>
    <col min="2342" max="2560" width="9" style="131"/>
    <col min="2561" max="2561" width="37.375" style="131" customWidth="1"/>
    <col min="2562" max="2566" width="17.25" style="131" customWidth="1"/>
    <col min="2567" max="2568" width="2.375" style="131" customWidth="1"/>
    <col min="2569" max="2569" width="37.375" style="131" customWidth="1"/>
    <col min="2570" max="2574" width="17.25" style="131" customWidth="1"/>
    <col min="2575" max="2576" width="2.375" style="131" customWidth="1"/>
    <col min="2577" max="2577" width="37.375" style="131" customWidth="1"/>
    <col min="2578" max="2582" width="17.25" style="131" customWidth="1"/>
    <col min="2583" max="2584" width="2.375" style="131" customWidth="1"/>
    <col min="2585" max="2585" width="37.375" style="131" customWidth="1"/>
    <col min="2586" max="2589" width="17.25" style="131" customWidth="1"/>
    <col min="2590" max="2590" width="18.125" style="131" customWidth="1"/>
    <col min="2591" max="2591" width="15.5" style="131" bestFit="1" customWidth="1"/>
    <col min="2592" max="2592" width="13.75" style="131" bestFit="1" customWidth="1"/>
    <col min="2593" max="2593" width="9.125" style="131" bestFit="1" customWidth="1"/>
    <col min="2594" max="2595" width="15.5" style="131" bestFit="1" customWidth="1"/>
    <col min="2596" max="2597" width="13.125" style="131" bestFit="1" customWidth="1"/>
    <col min="2598" max="2816" width="9" style="131"/>
    <col min="2817" max="2817" width="37.375" style="131" customWidth="1"/>
    <col min="2818" max="2822" width="17.25" style="131" customWidth="1"/>
    <col min="2823" max="2824" width="2.375" style="131" customWidth="1"/>
    <col min="2825" max="2825" width="37.375" style="131" customWidth="1"/>
    <col min="2826" max="2830" width="17.25" style="131" customWidth="1"/>
    <col min="2831" max="2832" width="2.375" style="131" customWidth="1"/>
    <col min="2833" max="2833" width="37.375" style="131" customWidth="1"/>
    <col min="2834" max="2838" width="17.25" style="131" customWidth="1"/>
    <col min="2839" max="2840" width="2.375" style="131" customWidth="1"/>
    <col min="2841" max="2841" width="37.375" style="131" customWidth="1"/>
    <col min="2842" max="2845" width="17.25" style="131" customWidth="1"/>
    <col min="2846" max="2846" width="18.125" style="131" customWidth="1"/>
    <col min="2847" max="2847" width="15.5" style="131" bestFit="1" customWidth="1"/>
    <col min="2848" max="2848" width="13.75" style="131" bestFit="1" customWidth="1"/>
    <col min="2849" max="2849" width="9.125" style="131" bestFit="1" customWidth="1"/>
    <col min="2850" max="2851" width="15.5" style="131" bestFit="1" customWidth="1"/>
    <col min="2852" max="2853" width="13.125" style="131" bestFit="1" customWidth="1"/>
    <col min="2854" max="3072" width="9" style="131"/>
    <col min="3073" max="3073" width="37.375" style="131" customWidth="1"/>
    <col min="3074" max="3078" width="17.25" style="131" customWidth="1"/>
    <col min="3079" max="3080" width="2.375" style="131" customWidth="1"/>
    <col min="3081" max="3081" width="37.375" style="131" customWidth="1"/>
    <col min="3082" max="3086" width="17.25" style="131" customWidth="1"/>
    <col min="3087" max="3088" width="2.375" style="131" customWidth="1"/>
    <col min="3089" max="3089" width="37.375" style="131" customWidth="1"/>
    <col min="3090" max="3094" width="17.25" style="131" customWidth="1"/>
    <col min="3095" max="3096" width="2.375" style="131" customWidth="1"/>
    <col min="3097" max="3097" width="37.375" style="131" customWidth="1"/>
    <col min="3098" max="3101" width="17.25" style="131" customWidth="1"/>
    <col min="3102" max="3102" width="18.125" style="131" customWidth="1"/>
    <col min="3103" max="3103" width="15.5" style="131" bestFit="1" customWidth="1"/>
    <col min="3104" max="3104" width="13.75" style="131" bestFit="1" customWidth="1"/>
    <col min="3105" max="3105" width="9.125" style="131" bestFit="1" customWidth="1"/>
    <col min="3106" max="3107" width="15.5" style="131" bestFit="1" customWidth="1"/>
    <col min="3108" max="3109" width="13.125" style="131" bestFit="1" customWidth="1"/>
    <col min="3110" max="3328" width="9" style="131"/>
    <col min="3329" max="3329" width="37.375" style="131" customWidth="1"/>
    <col min="3330" max="3334" width="17.25" style="131" customWidth="1"/>
    <col min="3335" max="3336" width="2.375" style="131" customWidth="1"/>
    <col min="3337" max="3337" width="37.375" style="131" customWidth="1"/>
    <col min="3338" max="3342" width="17.25" style="131" customWidth="1"/>
    <col min="3343" max="3344" width="2.375" style="131" customWidth="1"/>
    <col min="3345" max="3345" width="37.375" style="131" customWidth="1"/>
    <col min="3346" max="3350" width="17.25" style="131" customWidth="1"/>
    <col min="3351" max="3352" width="2.375" style="131" customWidth="1"/>
    <col min="3353" max="3353" width="37.375" style="131" customWidth="1"/>
    <col min="3354" max="3357" width="17.25" style="131" customWidth="1"/>
    <col min="3358" max="3358" width="18.125" style="131" customWidth="1"/>
    <col min="3359" max="3359" width="15.5" style="131" bestFit="1" customWidth="1"/>
    <col min="3360" max="3360" width="13.75" style="131" bestFit="1" customWidth="1"/>
    <col min="3361" max="3361" width="9.125" style="131" bestFit="1" customWidth="1"/>
    <col min="3362" max="3363" width="15.5" style="131" bestFit="1" customWidth="1"/>
    <col min="3364" max="3365" width="13.125" style="131" bestFit="1" customWidth="1"/>
    <col min="3366" max="3584" width="9" style="131"/>
    <col min="3585" max="3585" width="37.375" style="131" customWidth="1"/>
    <col min="3586" max="3590" width="17.25" style="131" customWidth="1"/>
    <col min="3591" max="3592" width="2.375" style="131" customWidth="1"/>
    <col min="3593" max="3593" width="37.375" style="131" customWidth="1"/>
    <col min="3594" max="3598" width="17.25" style="131" customWidth="1"/>
    <col min="3599" max="3600" width="2.375" style="131" customWidth="1"/>
    <col min="3601" max="3601" width="37.375" style="131" customWidth="1"/>
    <col min="3602" max="3606" width="17.25" style="131" customWidth="1"/>
    <col min="3607" max="3608" width="2.375" style="131" customWidth="1"/>
    <col min="3609" max="3609" width="37.375" style="131" customWidth="1"/>
    <col min="3610" max="3613" width="17.25" style="131" customWidth="1"/>
    <col min="3614" max="3614" width="18.125" style="131" customWidth="1"/>
    <col min="3615" max="3615" width="15.5" style="131" bestFit="1" customWidth="1"/>
    <col min="3616" max="3616" width="13.75" style="131" bestFit="1" customWidth="1"/>
    <col min="3617" max="3617" width="9.125" style="131" bestFit="1" customWidth="1"/>
    <col min="3618" max="3619" width="15.5" style="131" bestFit="1" customWidth="1"/>
    <col min="3620" max="3621" width="13.125" style="131" bestFit="1" customWidth="1"/>
    <col min="3622" max="3840" width="9" style="131"/>
    <col min="3841" max="3841" width="37.375" style="131" customWidth="1"/>
    <col min="3842" max="3846" width="17.25" style="131" customWidth="1"/>
    <col min="3847" max="3848" width="2.375" style="131" customWidth="1"/>
    <col min="3849" max="3849" width="37.375" style="131" customWidth="1"/>
    <col min="3850" max="3854" width="17.25" style="131" customWidth="1"/>
    <col min="3855" max="3856" width="2.375" style="131" customWidth="1"/>
    <col min="3857" max="3857" width="37.375" style="131" customWidth="1"/>
    <col min="3858" max="3862" width="17.25" style="131" customWidth="1"/>
    <col min="3863" max="3864" width="2.375" style="131" customWidth="1"/>
    <col min="3865" max="3865" width="37.375" style="131" customWidth="1"/>
    <col min="3866" max="3869" width="17.25" style="131" customWidth="1"/>
    <col min="3870" max="3870" width="18.125" style="131" customWidth="1"/>
    <col min="3871" max="3871" width="15.5" style="131" bestFit="1" customWidth="1"/>
    <col min="3872" max="3872" width="13.75" style="131" bestFit="1" customWidth="1"/>
    <col min="3873" max="3873" width="9.125" style="131" bestFit="1" customWidth="1"/>
    <col min="3874" max="3875" width="15.5" style="131" bestFit="1" customWidth="1"/>
    <col min="3876" max="3877" width="13.125" style="131" bestFit="1" customWidth="1"/>
    <col min="3878" max="4096" width="9" style="131"/>
    <col min="4097" max="4097" width="37.375" style="131" customWidth="1"/>
    <col min="4098" max="4102" width="17.25" style="131" customWidth="1"/>
    <col min="4103" max="4104" width="2.375" style="131" customWidth="1"/>
    <col min="4105" max="4105" width="37.375" style="131" customWidth="1"/>
    <col min="4106" max="4110" width="17.25" style="131" customWidth="1"/>
    <col min="4111" max="4112" width="2.375" style="131" customWidth="1"/>
    <col min="4113" max="4113" width="37.375" style="131" customWidth="1"/>
    <col min="4114" max="4118" width="17.25" style="131" customWidth="1"/>
    <col min="4119" max="4120" width="2.375" style="131" customWidth="1"/>
    <col min="4121" max="4121" width="37.375" style="131" customWidth="1"/>
    <col min="4122" max="4125" width="17.25" style="131" customWidth="1"/>
    <col min="4126" max="4126" width="18.125" style="131" customWidth="1"/>
    <col min="4127" max="4127" width="15.5" style="131" bestFit="1" customWidth="1"/>
    <col min="4128" max="4128" width="13.75" style="131" bestFit="1" customWidth="1"/>
    <col min="4129" max="4129" width="9.125" style="131" bestFit="1" customWidth="1"/>
    <col min="4130" max="4131" width="15.5" style="131" bestFit="1" customWidth="1"/>
    <col min="4132" max="4133" width="13.125" style="131" bestFit="1" customWidth="1"/>
    <col min="4134" max="4352" width="9" style="131"/>
    <col min="4353" max="4353" width="37.375" style="131" customWidth="1"/>
    <col min="4354" max="4358" width="17.25" style="131" customWidth="1"/>
    <col min="4359" max="4360" width="2.375" style="131" customWidth="1"/>
    <col min="4361" max="4361" width="37.375" style="131" customWidth="1"/>
    <col min="4362" max="4366" width="17.25" style="131" customWidth="1"/>
    <col min="4367" max="4368" width="2.375" style="131" customWidth="1"/>
    <col min="4369" max="4369" width="37.375" style="131" customWidth="1"/>
    <col min="4370" max="4374" width="17.25" style="131" customWidth="1"/>
    <col min="4375" max="4376" width="2.375" style="131" customWidth="1"/>
    <col min="4377" max="4377" width="37.375" style="131" customWidth="1"/>
    <col min="4378" max="4381" width="17.25" style="131" customWidth="1"/>
    <col min="4382" max="4382" width="18.125" style="131" customWidth="1"/>
    <col min="4383" max="4383" width="15.5" style="131" bestFit="1" customWidth="1"/>
    <col min="4384" max="4384" width="13.75" style="131" bestFit="1" customWidth="1"/>
    <col min="4385" max="4385" width="9.125" style="131" bestFit="1" customWidth="1"/>
    <col min="4386" max="4387" width="15.5" style="131" bestFit="1" customWidth="1"/>
    <col min="4388" max="4389" width="13.125" style="131" bestFit="1" customWidth="1"/>
    <col min="4390" max="4608" width="9" style="131"/>
    <col min="4609" max="4609" width="37.375" style="131" customWidth="1"/>
    <col min="4610" max="4614" width="17.25" style="131" customWidth="1"/>
    <col min="4615" max="4616" width="2.375" style="131" customWidth="1"/>
    <col min="4617" max="4617" width="37.375" style="131" customWidth="1"/>
    <col min="4618" max="4622" width="17.25" style="131" customWidth="1"/>
    <col min="4623" max="4624" width="2.375" style="131" customWidth="1"/>
    <col min="4625" max="4625" width="37.375" style="131" customWidth="1"/>
    <col min="4626" max="4630" width="17.25" style="131" customWidth="1"/>
    <col min="4631" max="4632" width="2.375" style="131" customWidth="1"/>
    <col min="4633" max="4633" width="37.375" style="131" customWidth="1"/>
    <col min="4634" max="4637" width="17.25" style="131" customWidth="1"/>
    <col min="4638" max="4638" width="18.125" style="131" customWidth="1"/>
    <col min="4639" max="4639" width="15.5" style="131" bestFit="1" customWidth="1"/>
    <col min="4640" max="4640" width="13.75" style="131" bestFit="1" customWidth="1"/>
    <col min="4641" max="4641" width="9.125" style="131" bestFit="1" customWidth="1"/>
    <col min="4642" max="4643" width="15.5" style="131" bestFit="1" customWidth="1"/>
    <col min="4644" max="4645" width="13.125" style="131" bestFit="1" customWidth="1"/>
    <col min="4646" max="4864" width="9" style="131"/>
    <col min="4865" max="4865" width="37.375" style="131" customWidth="1"/>
    <col min="4866" max="4870" width="17.25" style="131" customWidth="1"/>
    <col min="4871" max="4872" width="2.375" style="131" customWidth="1"/>
    <col min="4873" max="4873" width="37.375" style="131" customWidth="1"/>
    <col min="4874" max="4878" width="17.25" style="131" customWidth="1"/>
    <col min="4879" max="4880" width="2.375" style="131" customWidth="1"/>
    <col min="4881" max="4881" width="37.375" style="131" customWidth="1"/>
    <col min="4882" max="4886" width="17.25" style="131" customWidth="1"/>
    <col min="4887" max="4888" width="2.375" style="131" customWidth="1"/>
    <col min="4889" max="4889" width="37.375" style="131" customWidth="1"/>
    <col min="4890" max="4893" width="17.25" style="131" customWidth="1"/>
    <col min="4894" max="4894" width="18.125" style="131" customWidth="1"/>
    <col min="4895" max="4895" width="15.5" style="131" bestFit="1" customWidth="1"/>
    <col min="4896" max="4896" width="13.75" style="131" bestFit="1" customWidth="1"/>
    <col min="4897" max="4897" width="9.125" style="131" bestFit="1" customWidth="1"/>
    <col min="4898" max="4899" width="15.5" style="131" bestFit="1" customWidth="1"/>
    <col min="4900" max="4901" width="13.125" style="131" bestFit="1" customWidth="1"/>
    <col min="4902" max="5120" width="9" style="131"/>
    <col min="5121" max="5121" width="37.375" style="131" customWidth="1"/>
    <col min="5122" max="5126" width="17.25" style="131" customWidth="1"/>
    <col min="5127" max="5128" width="2.375" style="131" customWidth="1"/>
    <col min="5129" max="5129" width="37.375" style="131" customWidth="1"/>
    <col min="5130" max="5134" width="17.25" style="131" customWidth="1"/>
    <col min="5135" max="5136" width="2.375" style="131" customWidth="1"/>
    <col min="5137" max="5137" width="37.375" style="131" customWidth="1"/>
    <col min="5138" max="5142" width="17.25" style="131" customWidth="1"/>
    <col min="5143" max="5144" width="2.375" style="131" customWidth="1"/>
    <col min="5145" max="5145" width="37.375" style="131" customWidth="1"/>
    <col min="5146" max="5149" width="17.25" style="131" customWidth="1"/>
    <col min="5150" max="5150" width="18.125" style="131" customWidth="1"/>
    <col min="5151" max="5151" width="15.5" style="131" bestFit="1" customWidth="1"/>
    <col min="5152" max="5152" width="13.75" style="131" bestFit="1" customWidth="1"/>
    <col min="5153" max="5153" width="9.125" style="131" bestFit="1" customWidth="1"/>
    <col min="5154" max="5155" width="15.5" style="131" bestFit="1" customWidth="1"/>
    <col min="5156" max="5157" width="13.125" style="131" bestFit="1" customWidth="1"/>
    <col min="5158" max="5376" width="9" style="131"/>
    <col min="5377" max="5377" width="37.375" style="131" customWidth="1"/>
    <col min="5378" max="5382" width="17.25" style="131" customWidth="1"/>
    <col min="5383" max="5384" width="2.375" style="131" customWidth="1"/>
    <col min="5385" max="5385" width="37.375" style="131" customWidth="1"/>
    <col min="5386" max="5390" width="17.25" style="131" customWidth="1"/>
    <col min="5391" max="5392" width="2.375" style="131" customWidth="1"/>
    <col min="5393" max="5393" width="37.375" style="131" customWidth="1"/>
    <col min="5394" max="5398" width="17.25" style="131" customWidth="1"/>
    <col min="5399" max="5400" width="2.375" style="131" customWidth="1"/>
    <col min="5401" max="5401" width="37.375" style="131" customWidth="1"/>
    <col min="5402" max="5405" width="17.25" style="131" customWidth="1"/>
    <col min="5406" max="5406" width="18.125" style="131" customWidth="1"/>
    <col min="5407" max="5407" width="15.5" style="131" bestFit="1" customWidth="1"/>
    <col min="5408" max="5408" width="13.75" style="131" bestFit="1" customWidth="1"/>
    <col min="5409" max="5409" width="9.125" style="131" bestFit="1" customWidth="1"/>
    <col min="5410" max="5411" width="15.5" style="131" bestFit="1" customWidth="1"/>
    <col min="5412" max="5413" width="13.125" style="131" bestFit="1" customWidth="1"/>
    <col min="5414" max="5632" width="9" style="131"/>
    <col min="5633" max="5633" width="37.375" style="131" customWidth="1"/>
    <col min="5634" max="5638" width="17.25" style="131" customWidth="1"/>
    <col min="5639" max="5640" width="2.375" style="131" customWidth="1"/>
    <col min="5641" max="5641" width="37.375" style="131" customWidth="1"/>
    <col min="5642" max="5646" width="17.25" style="131" customWidth="1"/>
    <col min="5647" max="5648" width="2.375" style="131" customWidth="1"/>
    <col min="5649" max="5649" width="37.375" style="131" customWidth="1"/>
    <col min="5650" max="5654" width="17.25" style="131" customWidth="1"/>
    <col min="5655" max="5656" width="2.375" style="131" customWidth="1"/>
    <col min="5657" max="5657" width="37.375" style="131" customWidth="1"/>
    <col min="5658" max="5661" width="17.25" style="131" customWidth="1"/>
    <col min="5662" max="5662" width="18.125" style="131" customWidth="1"/>
    <col min="5663" max="5663" width="15.5" style="131" bestFit="1" customWidth="1"/>
    <col min="5664" max="5664" width="13.75" style="131" bestFit="1" customWidth="1"/>
    <col min="5665" max="5665" width="9.125" style="131" bestFit="1" customWidth="1"/>
    <col min="5666" max="5667" width="15.5" style="131" bestFit="1" customWidth="1"/>
    <col min="5668" max="5669" width="13.125" style="131" bestFit="1" customWidth="1"/>
    <col min="5670" max="5888" width="9" style="131"/>
    <col min="5889" max="5889" width="37.375" style="131" customWidth="1"/>
    <col min="5890" max="5894" width="17.25" style="131" customWidth="1"/>
    <col min="5895" max="5896" width="2.375" style="131" customWidth="1"/>
    <col min="5897" max="5897" width="37.375" style="131" customWidth="1"/>
    <col min="5898" max="5902" width="17.25" style="131" customWidth="1"/>
    <col min="5903" max="5904" width="2.375" style="131" customWidth="1"/>
    <col min="5905" max="5905" width="37.375" style="131" customWidth="1"/>
    <col min="5906" max="5910" width="17.25" style="131" customWidth="1"/>
    <col min="5911" max="5912" width="2.375" style="131" customWidth="1"/>
    <col min="5913" max="5913" width="37.375" style="131" customWidth="1"/>
    <col min="5914" max="5917" width="17.25" style="131" customWidth="1"/>
    <col min="5918" max="5918" width="18.125" style="131" customWidth="1"/>
    <col min="5919" max="5919" width="15.5" style="131" bestFit="1" customWidth="1"/>
    <col min="5920" max="5920" width="13.75" style="131" bestFit="1" customWidth="1"/>
    <col min="5921" max="5921" width="9.125" style="131" bestFit="1" customWidth="1"/>
    <col min="5922" max="5923" width="15.5" style="131" bestFit="1" customWidth="1"/>
    <col min="5924" max="5925" width="13.125" style="131" bestFit="1" customWidth="1"/>
    <col min="5926" max="6144" width="9" style="131"/>
    <col min="6145" max="6145" width="37.375" style="131" customWidth="1"/>
    <col min="6146" max="6150" width="17.25" style="131" customWidth="1"/>
    <col min="6151" max="6152" width="2.375" style="131" customWidth="1"/>
    <col min="6153" max="6153" width="37.375" style="131" customWidth="1"/>
    <col min="6154" max="6158" width="17.25" style="131" customWidth="1"/>
    <col min="6159" max="6160" width="2.375" style="131" customWidth="1"/>
    <col min="6161" max="6161" width="37.375" style="131" customWidth="1"/>
    <col min="6162" max="6166" width="17.25" style="131" customWidth="1"/>
    <col min="6167" max="6168" width="2.375" style="131" customWidth="1"/>
    <col min="6169" max="6169" width="37.375" style="131" customWidth="1"/>
    <col min="6170" max="6173" width="17.25" style="131" customWidth="1"/>
    <col min="6174" max="6174" width="18.125" style="131" customWidth="1"/>
    <col min="6175" max="6175" width="15.5" style="131" bestFit="1" customWidth="1"/>
    <col min="6176" max="6176" width="13.75" style="131" bestFit="1" customWidth="1"/>
    <col min="6177" max="6177" width="9.125" style="131" bestFit="1" customWidth="1"/>
    <col min="6178" max="6179" width="15.5" style="131" bestFit="1" customWidth="1"/>
    <col min="6180" max="6181" width="13.125" style="131" bestFit="1" customWidth="1"/>
    <col min="6182" max="6400" width="9" style="131"/>
    <col min="6401" max="6401" width="37.375" style="131" customWidth="1"/>
    <col min="6402" max="6406" width="17.25" style="131" customWidth="1"/>
    <col min="6407" max="6408" width="2.375" style="131" customWidth="1"/>
    <col min="6409" max="6409" width="37.375" style="131" customWidth="1"/>
    <col min="6410" max="6414" width="17.25" style="131" customWidth="1"/>
    <col min="6415" max="6416" width="2.375" style="131" customWidth="1"/>
    <col min="6417" max="6417" width="37.375" style="131" customWidth="1"/>
    <col min="6418" max="6422" width="17.25" style="131" customWidth="1"/>
    <col min="6423" max="6424" width="2.375" style="131" customWidth="1"/>
    <col min="6425" max="6425" width="37.375" style="131" customWidth="1"/>
    <col min="6426" max="6429" width="17.25" style="131" customWidth="1"/>
    <col min="6430" max="6430" width="18.125" style="131" customWidth="1"/>
    <col min="6431" max="6431" width="15.5" style="131" bestFit="1" customWidth="1"/>
    <col min="6432" max="6432" width="13.75" style="131" bestFit="1" customWidth="1"/>
    <col min="6433" max="6433" width="9.125" style="131" bestFit="1" customWidth="1"/>
    <col min="6434" max="6435" width="15.5" style="131" bestFit="1" customWidth="1"/>
    <col min="6436" max="6437" width="13.125" style="131" bestFit="1" customWidth="1"/>
    <col min="6438" max="6656" width="9" style="131"/>
    <col min="6657" max="6657" width="37.375" style="131" customWidth="1"/>
    <col min="6658" max="6662" width="17.25" style="131" customWidth="1"/>
    <col min="6663" max="6664" width="2.375" style="131" customWidth="1"/>
    <col min="6665" max="6665" width="37.375" style="131" customWidth="1"/>
    <col min="6666" max="6670" width="17.25" style="131" customWidth="1"/>
    <col min="6671" max="6672" width="2.375" style="131" customWidth="1"/>
    <col min="6673" max="6673" width="37.375" style="131" customWidth="1"/>
    <col min="6674" max="6678" width="17.25" style="131" customWidth="1"/>
    <col min="6679" max="6680" width="2.375" style="131" customWidth="1"/>
    <col min="6681" max="6681" width="37.375" style="131" customWidth="1"/>
    <col min="6682" max="6685" width="17.25" style="131" customWidth="1"/>
    <col min="6686" max="6686" width="18.125" style="131" customWidth="1"/>
    <col min="6687" max="6687" width="15.5" style="131" bestFit="1" customWidth="1"/>
    <col min="6688" max="6688" width="13.75" style="131" bestFit="1" customWidth="1"/>
    <col min="6689" max="6689" width="9.125" style="131" bestFit="1" customWidth="1"/>
    <col min="6690" max="6691" width="15.5" style="131" bestFit="1" customWidth="1"/>
    <col min="6692" max="6693" width="13.125" style="131" bestFit="1" customWidth="1"/>
    <col min="6694" max="6912" width="9" style="131"/>
    <col min="6913" max="6913" width="37.375" style="131" customWidth="1"/>
    <col min="6914" max="6918" width="17.25" style="131" customWidth="1"/>
    <col min="6919" max="6920" width="2.375" style="131" customWidth="1"/>
    <col min="6921" max="6921" width="37.375" style="131" customWidth="1"/>
    <col min="6922" max="6926" width="17.25" style="131" customWidth="1"/>
    <col min="6927" max="6928" width="2.375" style="131" customWidth="1"/>
    <col min="6929" max="6929" width="37.375" style="131" customWidth="1"/>
    <col min="6930" max="6934" width="17.25" style="131" customWidth="1"/>
    <col min="6935" max="6936" width="2.375" style="131" customWidth="1"/>
    <col min="6937" max="6937" width="37.375" style="131" customWidth="1"/>
    <col min="6938" max="6941" width="17.25" style="131" customWidth="1"/>
    <col min="6942" max="6942" width="18.125" style="131" customWidth="1"/>
    <col min="6943" max="6943" width="15.5" style="131" bestFit="1" customWidth="1"/>
    <col min="6944" max="6944" width="13.75" style="131" bestFit="1" customWidth="1"/>
    <col min="6945" max="6945" width="9.125" style="131" bestFit="1" customWidth="1"/>
    <col min="6946" max="6947" width="15.5" style="131" bestFit="1" customWidth="1"/>
    <col min="6948" max="6949" width="13.125" style="131" bestFit="1" customWidth="1"/>
    <col min="6950" max="7168" width="9" style="131"/>
    <col min="7169" max="7169" width="37.375" style="131" customWidth="1"/>
    <col min="7170" max="7174" width="17.25" style="131" customWidth="1"/>
    <col min="7175" max="7176" width="2.375" style="131" customWidth="1"/>
    <col min="7177" max="7177" width="37.375" style="131" customWidth="1"/>
    <col min="7178" max="7182" width="17.25" style="131" customWidth="1"/>
    <col min="7183" max="7184" width="2.375" style="131" customWidth="1"/>
    <col min="7185" max="7185" width="37.375" style="131" customWidth="1"/>
    <col min="7186" max="7190" width="17.25" style="131" customWidth="1"/>
    <col min="7191" max="7192" width="2.375" style="131" customWidth="1"/>
    <col min="7193" max="7193" width="37.375" style="131" customWidth="1"/>
    <col min="7194" max="7197" width="17.25" style="131" customWidth="1"/>
    <col min="7198" max="7198" width="18.125" style="131" customWidth="1"/>
    <col min="7199" max="7199" width="15.5" style="131" bestFit="1" customWidth="1"/>
    <col min="7200" max="7200" width="13.75" style="131" bestFit="1" customWidth="1"/>
    <col min="7201" max="7201" width="9.125" style="131" bestFit="1" customWidth="1"/>
    <col min="7202" max="7203" width="15.5" style="131" bestFit="1" customWidth="1"/>
    <col min="7204" max="7205" width="13.125" style="131" bestFit="1" customWidth="1"/>
    <col min="7206" max="7424" width="9" style="131"/>
    <col min="7425" max="7425" width="37.375" style="131" customWidth="1"/>
    <col min="7426" max="7430" width="17.25" style="131" customWidth="1"/>
    <col min="7431" max="7432" width="2.375" style="131" customWidth="1"/>
    <col min="7433" max="7433" width="37.375" style="131" customWidth="1"/>
    <col min="7434" max="7438" width="17.25" style="131" customWidth="1"/>
    <col min="7439" max="7440" width="2.375" style="131" customWidth="1"/>
    <col min="7441" max="7441" width="37.375" style="131" customWidth="1"/>
    <col min="7442" max="7446" width="17.25" style="131" customWidth="1"/>
    <col min="7447" max="7448" width="2.375" style="131" customWidth="1"/>
    <col min="7449" max="7449" width="37.375" style="131" customWidth="1"/>
    <col min="7450" max="7453" width="17.25" style="131" customWidth="1"/>
    <col min="7454" max="7454" width="18.125" style="131" customWidth="1"/>
    <col min="7455" max="7455" width="15.5" style="131" bestFit="1" customWidth="1"/>
    <col min="7456" max="7456" width="13.75" style="131" bestFit="1" customWidth="1"/>
    <col min="7457" max="7457" width="9.125" style="131" bestFit="1" customWidth="1"/>
    <col min="7458" max="7459" width="15.5" style="131" bestFit="1" customWidth="1"/>
    <col min="7460" max="7461" width="13.125" style="131" bestFit="1" customWidth="1"/>
    <col min="7462" max="7680" width="9" style="131"/>
    <col min="7681" max="7681" width="37.375" style="131" customWidth="1"/>
    <col min="7682" max="7686" width="17.25" style="131" customWidth="1"/>
    <col min="7687" max="7688" width="2.375" style="131" customWidth="1"/>
    <col min="7689" max="7689" width="37.375" style="131" customWidth="1"/>
    <col min="7690" max="7694" width="17.25" style="131" customWidth="1"/>
    <col min="7695" max="7696" width="2.375" style="131" customWidth="1"/>
    <col min="7697" max="7697" width="37.375" style="131" customWidth="1"/>
    <col min="7698" max="7702" width="17.25" style="131" customWidth="1"/>
    <col min="7703" max="7704" width="2.375" style="131" customWidth="1"/>
    <col min="7705" max="7705" width="37.375" style="131" customWidth="1"/>
    <col min="7706" max="7709" width="17.25" style="131" customWidth="1"/>
    <col min="7710" max="7710" width="18.125" style="131" customWidth="1"/>
    <col min="7711" max="7711" width="15.5" style="131" bestFit="1" customWidth="1"/>
    <col min="7712" max="7712" width="13.75" style="131" bestFit="1" customWidth="1"/>
    <col min="7713" max="7713" width="9.125" style="131" bestFit="1" customWidth="1"/>
    <col min="7714" max="7715" width="15.5" style="131" bestFit="1" customWidth="1"/>
    <col min="7716" max="7717" width="13.125" style="131" bestFit="1" customWidth="1"/>
    <col min="7718" max="7936" width="9" style="131"/>
    <col min="7937" max="7937" width="37.375" style="131" customWidth="1"/>
    <col min="7938" max="7942" width="17.25" style="131" customWidth="1"/>
    <col min="7943" max="7944" width="2.375" style="131" customWidth="1"/>
    <col min="7945" max="7945" width="37.375" style="131" customWidth="1"/>
    <col min="7946" max="7950" width="17.25" style="131" customWidth="1"/>
    <col min="7951" max="7952" width="2.375" style="131" customWidth="1"/>
    <col min="7953" max="7953" width="37.375" style="131" customWidth="1"/>
    <col min="7954" max="7958" width="17.25" style="131" customWidth="1"/>
    <col min="7959" max="7960" width="2.375" style="131" customWidth="1"/>
    <col min="7961" max="7961" width="37.375" style="131" customWidth="1"/>
    <col min="7962" max="7965" width="17.25" style="131" customWidth="1"/>
    <col min="7966" max="7966" width="18.125" style="131" customWidth="1"/>
    <col min="7967" max="7967" width="15.5" style="131" bestFit="1" customWidth="1"/>
    <col min="7968" max="7968" width="13.75" style="131" bestFit="1" customWidth="1"/>
    <col min="7969" max="7969" width="9.125" style="131" bestFit="1" customWidth="1"/>
    <col min="7970" max="7971" width="15.5" style="131" bestFit="1" customWidth="1"/>
    <col min="7972" max="7973" width="13.125" style="131" bestFit="1" customWidth="1"/>
    <col min="7974" max="8192" width="9" style="131"/>
    <col min="8193" max="8193" width="37.375" style="131" customWidth="1"/>
    <col min="8194" max="8198" width="17.25" style="131" customWidth="1"/>
    <col min="8199" max="8200" width="2.375" style="131" customWidth="1"/>
    <col min="8201" max="8201" width="37.375" style="131" customWidth="1"/>
    <col min="8202" max="8206" width="17.25" style="131" customWidth="1"/>
    <col min="8207" max="8208" width="2.375" style="131" customWidth="1"/>
    <col min="8209" max="8209" width="37.375" style="131" customWidth="1"/>
    <col min="8210" max="8214" width="17.25" style="131" customWidth="1"/>
    <col min="8215" max="8216" width="2.375" style="131" customWidth="1"/>
    <col min="8217" max="8217" width="37.375" style="131" customWidth="1"/>
    <col min="8218" max="8221" width="17.25" style="131" customWidth="1"/>
    <col min="8222" max="8222" width="18.125" style="131" customWidth="1"/>
    <col min="8223" max="8223" width="15.5" style="131" bestFit="1" customWidth="1"/>
    <col min="8224" max="8224" width="13.75" style="131" bestFit="1" customWidth="1"/>
    <col min="8225" max="8225" width="9.125" style="131" bestFit="1" customWidth="1"/>
    <col min="8226" max="8227" width="15.5" style="131" bestFit="1" customWidth="1"/>
    <col min="8228" max="8229" width="13.125" style="131" bestFit="1" customWidth="1"/>
    <col min="8230" max="8448" width="9" style="131"/>
    <col min="8449" max="8449" width="37.375" style="131" customWidth="1"/>
    <col min="8450" max="8454" width="17.25" style="131" customWidth="1"/>
    <col min="8455" max="8456" width="2.375" style="131" customWidth="1"/>
    <col min="8457" max="8457" width="37.375" style="131" customWidth="1"/>
    <col min="8458" max="8462" width="17.25" style="131" customWidth="1"/>
    <col min="8463" max="8464" width="2.375" style="131" customWidth="1"/>
    <col min="8465" max="8465" width="37.375" style="131" customWidth="1"/>
    <col min="8466" max="8470" width="17.25" style="131" customWidth="1"/>
    <col min="8471" max="8472" width="2.375" style="131" customWidth="1"/>
    <col min="8473" max="8473" width="37.375" style="131" customWidth="1"/>
    <col min="8474" max="8477" width="17.25" style="131" customWidth="1"/>
    <col min="8478" max="8478" width="18.125" style="131" customWidth="1"/>
    <col min="8479" max="8479" width="15.5" style="131" bestFit="1" customWidth="1"/>
    <col min="8480" max="8480" width="13.75" style="131" bestFit="1" customWidth="1"/>
    <col min="8481" max="8481" width="9.125" style="131" bestFit="1" customWidth="1"/>
    <col min="8482" max="8483" width="15.5" style="131" bestFit="1" customWidth="1"/>
    <col min="8484" max="8485" width="13.125" style="131" bestFit="1" customWidth="1"/>
    <col min="8486" max="8704" width="9" style="131"/>
    <col min="8705" max="8705" width="37.375" style="131" customWidth="1"/>
    <col min="8706" max="8710" width="17.25" style="131" customWidth="1"/>
    <col min="8711" max="8712" width="2.375" style="131" customWidth="1"/>
    <col min="8713" max="8713" width="37.375" style="131" customWidth="1"/>
    <col min="8714" max="8718" width="17.25" style="131" customWidth="1"/>
    <col min="8719" max="8720" width="2.375" style="131" customWidth="1"/>
    <col min="8721" max="8721" width="37.375" style="131" customWidth="1"/>
    <col min="8722" max="8726" width="17.25" style="131" customWidth="1"/>
    <col min="8727" max="8728" width="2.375" style="131" customWidth="1"/>
    <col min="8729" max="8729" width="37.375" style="131" customWidth="1"/>
    <col min="8730" max="8733" width="17.25" style="131" customWidth="1"/>
    <col min="8734" max="8734" width="18.125" style="131" customWidth="1"/>
    <col min="8735" max="8735" width="15.5" style="131" bestFit="1" customWidth="1"/>
    <col min="8736" max="8736" width="13.75" style="131" bestFit="1" customWidth="1"/>
    <col min="8737" max="8737" width="9.125" style="131" bestFit="1" customWidth="1"/>
    <col min="8738" max="8739" width="15.5" style="131" bestFit="1" customWidth="1"/>
    <col min="8740" max="8741" width="13.125" style="131" bestFit="1" customWidth="1"/>
    <col min="8742" max="8960" width="9" style="131"/>
    <col min="8961" max="8961" width="37.375" style="131" customWidth="1"/>
    <col min="8962" max="8966" width="17.25" style="131" customWidth="1"/>
    <col min="8967" max="8968" width="2.375" style="131" customWidth="1"/>
    <col min="8969" max="8969" width="37.375" style="131" customWidth="1"/>
    <col min="8970" max="8974" width="17.25" style="131" customWidth="1"/>
    <col min="8975" max="8976" width="2.375" style="131" customWidth="1"/>
    <col min="8977" max="8977" width="37.375" style="131" customWidth="1"/>
    <col min="8978" max="8982" width="17.25" style="131" customWidth="1"/>
    <col min="8983" max="8984" width="2.375" style="131" customWidth="1"/>
    <col min="8985" max="8985" width="37.375" style="131" customWidth="1"/>
    <col min="8986" max="8989" width="17.25" style="131" customWidth="1"/>
    <col min="8990" max="8990" width="18.125" style="131" customWidth="1"/>
    <col min="8991" max="8991" width="15.5" style="131" bestFit="1" customWidth="1"/>
    <col min="8992" max="8992" width="13.75" style="131" bestFit="1" customWidth="1"/>
    <col min="8993" max="8993" width="9.125" style="131" bestFit="1" customWidth="1"/>
    <col min="8994" max="8995" width="15.5" style="131" bestFit="1" customWidth="1"/>
    <col min="8996" max="8997" width="13.125" style="131" bestFit="1" customWidth="1"/>
    <col min="8998" max="9216" width="9" style="131"/>
    <col min="9217" max="9217" width="37.375" style="131" customWidth="1"/>
    <col min="9218" max="9222" width="17.25" style="131" customWidth="1"/>
    <col min="9223" max="9224" width="2.375" style="131" customWidth="1"/>
    <col min="9225" max="9225" width="37.375" style="131" customWidth="1"/>
    <col min="9226" max="9230" width="17.25" style="131" customWidth="1"/>
    <col min="9231" max="9232" width="2.375" style="131" customWidth="1"/>
    <col min="9233" max="9233" width="37.375" style="131" customWidth="1"/>
    <col min="9234" max="9238" width="17.25" style="131" customWidth="1"/>
    <col min="9239" max="9240" width="2.375" style="131" customWidth="1"/>
    <col min="9241" max="9241" width="37.375" style="131" customWidth="1"/>
    <col min="9242" max="9245" width="17.25" style="131" customWidth="1"/>
    <col min="9246" max="9246" width="18.125" style="131" customWidth="1"/>
    <col min="9247" max="9247" width="15.5" style="131" bestFit="1" customWidth="1"/>
    <col min="9248" max="9248" width="13.75" style="131" bestFit="1" customWidth="1"/>
    <col min="9249" max="9249" width="9.125" style="131" bestFit="1" customWidth="1"/>
    <col min="9250" max="9251" width="15.5" style="131" bestFit="1" customWidth="1"/>
    <col min="9252" max="9253" width="13.125" style="131" bestFit="1" customWidth="1"/>
    <col min="9254" max="9472" width="9" style="131"/>
    <col min="9473" max="9473" width="37.375" style="131" customWidth="1"/>
    <col min="9474" max="9478" width="17.25" style="131" customWidth="1"/>
    <col min="9479" max="9480" width="2.375" style="131" customWidth="1"/>
    <col min="9481" max="9481" width="37.375" style="131" customWidth="1"/>
    <col min="9482" max="9486" width="17.25" style="131" customWidth="1"/>
    <col min="9487" max="9488" width="2.375" style="131" customWidth="1"/>
    <col min="9489" max="9489" width="37.375" style="131" customWidth="1"/>
    <col min="9490" max="9494" width="17.25" style="131" customWidth="1"/>
    <col min="9495" max="9496" width="2.375" style="131" customWidth="1"/>
    <col min="9497" max="9497" width="37.375" style="131" customWidth="1"/>
    <col min="9498" max="9501" width="17.25" style="131" customWidth="1"/>
    <col min="9502" max="9502" width="18.125" style="131" customWidth="1"/>
    <col min="9503" max="9503" width="15.5" style="131" bestFit="1" customWidth="1"/>
    <col min="9504" max="9504" width="13.75" style="131" bestFit="1" customWidth="1"/>
    <col min="9505" max="9505" width="9.125" style="131" bestFit="1" customWidth="1"/>
    <col min="9506" max="9507" width="15.5" style="131" bestFit="1" customWidth="1"/>
    <col min="9508" max="9509" width="13.125" style="131" bestFit="1" customWidth="1"/>
    <col min="9510" max="9728" width="9" style="131"/>
    <col min="9729" max="9729" width="37.375" style="131" customWidth="1"/>
    <col min="9730" max="9734" width="17.25" style="131" customWidth="1"/>
    <col min="9735" max="9736" width="2.375" style="131" customWidth="1"/>
    <col min="9737" max="9737" width="37.375" style="131" customWidth="1"/>
    <col min="9738" max="9742" width="17.25" style="131" customWidth="1"/>
    <col min="9743" max="9744" width="2.375" style="131" customWidth="1"/>
    <col min="9745" max="9745" width="37.375" style="131" customWidth="1"/>
    <col min="9746" max="9750" width="17.25" style="131" customWidth="1"/>
    <col min="9751" max="9752" width="2.375" style="131" customWidth="1"/>
    <col min="9753" max="9753" width="37.375" style="131" customWidth="1"/>
    <col min="9754" max="9757" width="17.25" style="131" customWidth="1"/>
    <col min="9758" max="9758" width="18.125" style="131" customWidth="1"/>
    <col min="9759" max="9759" width="15.5" style="131" bestFit="1" customWidth="1"/>
    <col min="9760" max="9760" width="13.75" style="131" bestFit="1" customWidth="1"/>
    <col min="9761" max="9761" width="9.125" style="131" bestFit="1" customWidth="1"/>
    <col min="9762" max="9763" width="15.5" style="131" bestFit="1" customWidth="1"/>
    <col min="9764" max="9765" width="13.125" style="131" bestFit="1" customWidth="1"/>
    <col min="9766" max="9984" width="9" style="131"/>
    <col min="9985" max="9985" width="37.375" style="131" customWidth="1"/>
    <col min="9986" max="9990" width="17.25" style="131" customWidth="1"/>
    <col min="9991" max="9992" width="2.375" style="131" customWidth="1"/>
    <col min="9993" max="9993" width="37.375" style="131" customWidth="1"/>
    <col min="9994" max="9998" width="17.25" style="131" customWidth="1"/>
    <col min="9999" max="10000" width="2.375" style="131" customWidth="1"/>
    <col min="10001" max="10001" width="37.375" style="131" customWidth="1"/>
    <col min="10002" max="10006" width="17.25" style="131" customWidth="1"/>
    <col min="10007" max="10008" width="2.375" style="131" customWidth="1"/>
    <col min="10009" max="10009" width="37.375" style="131" customWidth="1"/>
    <col min="10010" max="10013" width="17.25" style="131" customWidth="1"/>
    <col min="10014" max="10014" width="18.125" style="131" customWidth="1"/>
    <col min="10015" max="10015" width="15.5" style="131" bestFit="1" customWidth="1"/>
    <col min="10016" max="10016" width="13.75" style="131" bestFit="1" customWidth="1"/>
    <col min="10017" max="10017" width="9.125" style="131" bestFit="1" customWidth="1"/>
    <col min="10018" max="10019" width="15.5" style="131" bestFit="1" customWidth="1"/>
    <col min="10020" max="10021" width="13.125" style="131" bestFit="1" customWidth="1"/>
    <col min="10022" max="10240" width="9" style="131"/>
    <col min="10241" max="10241" width="37.375" style="131" customWidth="1"/>
    <col min="10242" max="10246" width="17.25" style="131" customWidth="1"/>
    <col min="10247" max="10248" width="2.375" style="131" customWidth="1"/>
    <col min="10249" max="10249" width="37.375" style="131" customWidth="1"/>
    <col min="10250" max="10254" width="17.25" style="131" customWidth="1"/>
    <col min="10255" max="10256" width="2.375" style="131" customWidth="1"/>
    <col min="10257" max="10257" width="37.375" style="131" customWidth="1"/>
    <col min="10258" max="10262" width="17.25" style="131" customWidth="1"/>
    <col min="10263" max="10264" width="2.375" style="131" customWidth="1"/>
    <col min="10265" max="10265" width="37.375" style="131" customWidth="1"/>
    <col min="10266" max="10269" width="17.25" style="131" customWidth="1"/>
    <col min="10270" max="10270" width="18.125" style="131" customWidth="1"/>
    <col min="10271" max="10271" width="15.5" style="131" bestFit="1" customWidth="1"/>
    <col min="10272" max="10272" width="13.75" style="131" bestFit="1" customWidth="1"/>
    <col min="10273" max="10273" width="9.125" style="131" bestFit="1" customWidth="1"/>
    <col min="10274" max="10275" width="15.5" style="131" bestFit="1" customWidth="1"/>
    <col min="10276" max="10277" width="13.125" style="131" bestFit="1" customWidth="1"/>
    <col min="10278" max="10496" width="9" style="131"/>
    <col min="10497" max="10497" width="37.375" style="131" customWidth="1"/>
    <col min="10498" max="10502" width="17.25" style="131" customWidth="1"/>
    <col min="10503" max="10504" width="2.375" style="131" customWidth="1"/>
    <col min="10505" max="10505" width="37.375" style="131" customWidth="1"/>
    <col min="10506" max="10510" width="17.25" style="131" customWidth="1"/>
    <col min="10511" max="10512" width="2.375" style="131" customWidth="1"/>
    <col min="10513" max="10513" width="37.375" style="131" customWidth="1"/>
    <col min="10514" max="10518" width="17.25" style="131" customWidth="1"/>
    <col min="10519" max="10520" width="2.375" style="131" customWidth="1"/>
    <col min="10521" max="10521" width="37.375" style="131" customWidth="1"/>
    <col min="10522" max="10525" width="17.25" style="131" customWidth="1"/>
    <col min="10526" max="10526" width="18.125" style="131" customWidth="1"/>
    <col min="10527" max="10527" width="15.5" style="131" bestFit="1" customWidth="1"/>
    <col min="10528" max="10528" width="13.75" style="131" bestFit="1" customWidth="1"/>
    <col min="10529" max="10529" width="9.125" style="131" bestFit="1" customWidth="1"/>
    <col min="10530" max="10531" width="15.5" style="131" bestFit="1" customWidth="1"/>
    <col min="10532" max="10533" width="13.125" style="131" bestFit="1" customWidth="1"/>
    <col min="10534" max="10752" width="9" style="131"/>
    <col min="10753" max="10753" width="37.375" style="131" customWidth="1"/>
    <col min="10754" max="10758" width="17.25" style="131" customWidth="1"/>
    <col min="10759" max="10760" width="2.375" style="131" customWidth="1"/>
    <col min="10761" max="10761" width="37.375" style="131" customWidth="1"/>
    <col min="10762" max="10766" width="17.25" style="131" customWidth="1"/>
    <col min="10767" max="10768" width="2.375" style="131" customWidth="1"/>
    <col min="10769" max="10769" width="37.375" style="131" customWidth="1"/>
    <col min="10770" max="10774" width="17.25" style="131" customWidth="1"/>
    <col min="10775" max="10776" width="2.375" style="131" customWidth="1"/>
    <col min="10777" max="10777" width="37.375" style="131" customWidth="1"/>
    <col min="10778" max="10781" width="17.25" style="131" customWidth="1"/>
    <col min="10782" max="10782" width="18.125" style="131" customWidth="1"/>
    <col min="10783" max="10783" width="15.5" style="131" bestFit="1" customWidth="1"/>
    <col min="10784" max="10784" width="13.75" style="131" bestFit="1" customWidth="1"/>
    <col min="10785" max="10785" width="9.125" style="131" bestFit="1" customWidth="1"/>
    <col min="10786" max="10787" width="15.5" style="131" bestFit="1" customWidth="1"/>
    <col min="10788" max="10789" width="13.125" style="131" bestFit="1" customWidth="1"/>
    <col min="10790" max="11008" width="9" style="131"/>
    <col min="11009" max="11009" width="37.375" style="131" customWidth="1"/>
    <col min="11010" max="11014" width="17.25" style="131" customWidth="1"/>
    <col min="11015" max="11016" width="2.375" style="131" customWidth="1"/>
    <col min="11017" max="11017" width="37.375" style="131" customWidth="1"/>
    <col min="11018" max="11022" width="17.25" style="131" customWidth="1"/>
    <col min="11023" max="11024" width="2.375" style="131" customWidth="1"/>
    <col min="11025" max="11025" width="37.375" style="131" customWidth="1"/>
    <col min="11026" max="11030" width="17.25" style="131" customWidth="1"/>
    <col min="11031" max="11032" width="2.375" style="131" customWidth="1"/>
    <col min="11033" max="11033" width="37.375" style="131" customWidth="1"/>
    <col min="11034" max="11037" width="17.25" style="131" customWidth="1"/>
    <col min="11038" max="11038" width="18.125" style="131" customWidth="1"/>
    <col min="11039" max="11039" width="15.5" style="131" bestFit="1" customWidth="1"/>
    <col min="11040" max="11040" width="13.75" style="131" bestFit="1" customWidth="1"/>
    <col min="11041" max="11041" width="9.125" style="131" bestFit="1" customWidth="1"/>
    <col min="11042" max="11043" width="15.5" style="131" bestFit="1" customWidth="1"/>
    <col min="11044" max="11045" width="13.125" style="131" bestFit="1" customWidth="1"/>
    <col min="11046" max="11264" width="9" style="131"/>
    <col min="11265" max="11265" width="37.375" style="131" customWidth="1"/>
    <col min="11266" max="11270" width="17.25" style="131" customWidth="1"/>
    <col min="11271" max="11272" width="2.375" style="131" customWidth="1"/>
    <col min="11273" max="11273" width="37.375" style="131" customWidth="1"/>
    <col min="11274" max="11278" width="17.25" style="131" customWidth="1"/>
    <col min="11279" max="11280" width="2.375" style="131" customWidth="1"/>
    <col min="11281" max="11281" width="37.375" style="131" customWidth="1"/>
    <col min="11282" max="11286" width="17.25" style="131" customWidth="1"/>
    <col min="11287" max="11288" width="2.375" style="131" customWidth="1"/>
    <col min="11289" max="11289" width="37.375" style="131" customWidth="1"/>
    <col min="11290" max="11293" width="17.25" style="131" customWidth="1"/>
    <col min="11294" max="11294" width="18.125" style="131" customWidth="1"/>
    <col min="11295" max="11295" width="15.5" style="131" bestFit="1" customWidth="1"/>
    <col min="11296" max="11296" width="13.75" style="131" bestFit="1" customWidth="1"/>
    <col min="11297" max="11297" width="9.125" style="131" bestFit="1" customWidth="1"/>
    <col min="11298" max="11299" width="15.5" style="131" bestFit="1" customWidth="1"/>
    <col min="11300" max="11301" width="13.125" style="131" bestFit="1" customWidth="1"/>
    <col min="11302" max="11520" width="9" style="131"/>
    <col min="11521" max="11521" width="37.375" style="131" customWidth="1"/>
    <col min="11522" max="11526" width="17.25" style="131" customWidth="1"/>
    <col min="11527" max="11528" width="2.375" style="131" customWidth="1"/>
    <col min="11529" max="11529" width="37.375" style="131" customWidth="1"/>
    <col min="11530" max="11534" width="17.25" style="131" customWidth="1"/>
    <col min="11535" max="11536" width="2.375" style="131" customWidth="1"/>
    <col min="11537" max="11537" width="37.375" style="131" customWidth="1"/>
    <col min="11538" max="11542" width="17.25" style="131" customWidth="1"/>
    <col min="11543" max="11544" width="2.375" style="131" customWidth="1"/>
    <col min="11545" max="11545" width="37.375" style="131" customWidth="1"/>
    <col min="11546" max="11549" width="17.25" style="131" customWidth="1"/>
    <col min="11550" max="11550" width="18.125" style="131" customWidth="1"/>
    <col min="11551" max="11551" width="15.5" style="131" bestFit="1" customWidth="1"/>
    <col min="11552" max="11552" width="13.75" style="131" bestFit="1" customWidth="1"/>
    <col min="11553" max="11553" width="9.125" style="131" bestFit="1" customWidth="1"/>
    <col min="11554" max="11555" width="15.5" style="131" bestFit="1" customWidth="1"/>
    <col min="11556" max="11557" width="13.125" style="131" bestFit="1" customWidth="1"/>
    <col min="11558" max="11776" width="9" style="131"/>
    <col min="11777" max="11777" width="37.375" style="131" customWidth="1"/>
    <col min="11778" max="11782" width="17.25" style="131" customWidth="1"/>
    <col min="11783" max="11784" width="2.375" style="131" customWidth="1"/>
    <col min="11785" max="11785" width="37.375" style="131" customWidth="1"/>
    <col min="11786" max="11790" width="17.25" style="131" customWidth="1"/>
    <col min="11791" max="11792" width="2.375" style="131" customWidth="1"/>
    <col min="11793" max="11793" width="37.375" style="131" customWidth="1"/>
    <col min="11794" max="11798" width="17.25" style="131" customWidth="1"/>
    <col min="11799" max="11800" width="2.375" style="131" customWidth="1"/>
    <col min="11801" max="11801" width="37.375" style="131" customWidth="1"/>
    <col min="11802" max="11805" width="17.25" style="131" customWidth="1"/>
    <col min="11806" max="11806" width="18.125" style="131" customWidth="1"/>
    <col min="11807" max="11807" width="15.5" style="131" bestFit="1" customWidth="1"/>
    <col min="11808" max="11808" width="13.75" style="131" bestFit="1" customWidth="1"/>
    <col min="11809" max="11809" width="9.125" style="131" bestFit="1" customWidth="1"/>
    <col min="11810" max="11811" width="15.5" style="131" bestFit="1" customWidth="1"/>
    <col min="11812" max="11813" width="13.125" style="131" bestFit="1" customWidth="1"/>
    <col min="11814" max="12032" width="9" style="131"/>
    <col min="12033" max="12033" width="37.375" style="131" customWidth="1"/>
    <col min="12034" max="12038" width="17.25" style="131" customWidth="1"/>
    <col min="12039" max="12040" width="2.375" style="131" customWidth="1"/>
    <col min="12041" max="12041" width="37.375" style="131" customWidth="1"/>
    <col min="12042" max="12046" width="17.25" style="131" customWidth="1"/>
    <col min="12047" max="12048" width="2.375" style="131" customWidth="1"/>
    <col min="12049" max="12049" width="37.375" style="131" customWidth="1"/>
    <col min="12050" max="12054" width="17.25" style="131" customWidth="1"/>
    <col min="12055" max="12056" width="2.375" style="131" customWidth="1"/>
    <col min="12057" max="12057" width="37.375" style="131" customWidth="1"/>
    <col min="12058" max="12061" width="17.25" style="131" customWidth="1"/>
    <col min="12062" max="12062" width="18.125" style="131" customWidth="1"/>
    <col min="12063" max="12063" width="15.5" style="131" bestFit="1" customWidth="1"/>
    <col min="12064" max="12064" width="13.75" style="131" bestFit="1" customWidth="1"/>
    <col min="12065" max="12065" width="9.125" style="131" bestFit="1" customWidth="1"/>
    <col min="12066" max="12067" width="15.5" style="131" bestFit="1" customWidth="1"/>
    <col min="12068" max="12069" width="13.125" style="131" bestFit="1" customWidth="1"/>
    <col min="12070" max="12288" width="9" style="131"/>
    <col min="12289" max="12289" width="37.375" style="131" customWidth="1"/>
    <col min="12290" max="12294" width="17.25" style="131" customWidth="1"/>
    <col min="12295" max="12296" width="2.375" style="131" customWidth="1"/>
    <col min="12297" max="12297" width="37.375" style="131" customWidth="1"/>
    <col min="12298" max="12302" width="17.25" style="131" customWidth="1"/>
    <col min="12303" max="12304" width="2.375" style="131" customWidth="1"/>
    <col min="12305" max="12305" width="37.375" style="131" customWidth="1"/>
    <col min="12306" max="12310" width="17.25" style="131" customWidth="1"/>
    <col min="12311" max="12312" width="2.375" style="131" customWidth="1"/>
    <col min="12313" max="12313" width="37.375" style="131" customWidth="1"/>
    <col min="12314" max="12317" width="17.25" style="131" customWidth="1"/>
    <col min="12318" max="12318" width="18.125" style="131" customWidth="1"/>
    <col min="12319" max="12319" width="15.5" style="131" bestFit="1" customWidth="1"/>
    <col min="12320" max="12320" width="13.75" style="131" bestFit="1" customWidth="1"/>
    <col min="12321" max="12321" width="9.125" style="131" bestFit="1" customWidth="1"/>
    <col min="12322" max="12323" width="15.5" style="131" bestFit="1" customWidth="1"/>
    <col min="12324" max="12325" width="13.125" style="131" bestFit="1" customWidth="1"/>
    <col min="12326" max="12544" width="9" style="131"/>
    <col min="12545" max="12545" width="37.375" style="131" customWidth="1"/>
    <col min="12546" max="12550" width="17.25" style="131" customWidth="1"/>
    <col min="12551" max="12552" width="2.375" style="131" customWidth="1"/>
    <col min="12553" max="12553" width="37.375" style="131" customWidth="1"/>
    <col min="12554" max="12558" width="17.25" style="131" customWidth="1"/>
    <col min="12559" max="12560" width="2.375" style="131" customWidth="1"/>
    <col min="12561" max="12561" width="37.375" style="131" customWidth="1"/>
    <col min="12562" max="12566" width="17.25" style="131" customWidth="1"/>
    <col min="12567" max="12568" width="2.375" style="131" customWidth="1"/>
    <col min="12569" max="12569" width="37.375" style="131" customWidth="1"/>
    <col min="12570" max="12573" width="17.25" style="131" customWidth="1"/>
    <col min="12574" max="12574" width="18.125" style="131" customWidth="1"/>
    <col min="12575" max="12575" width="15.5" style="131" bestFit="1" customWidth="1"/>
    <col min="12576" max="12576" width="13.75" style="131" bestFit="1" customWidth="1"/>
    <col min="12577" max="12577" width="9.125" style="131" bestFit="1" customWidth="1"/>
    <col min="12578" max="12579" width="15.5" style="131" bestFit="1" customWidth="1"/>
    <col min="12580" max="12581" width="13.125" style="131" bestFit="1" customWidth="1"/>
    <col min="12582" max="12800" width="9" style="131"/>
    <col min="12801" max="12801" width="37.375" style="131" customWidth="1"/>
    <col min="12802" max="12806" width="17.25" style="131" customWidth="1"/>
    <col min="12807" max="12808" width="2.375" style="131" customWidth="1"/>
    <col min="12809" max="12809" width="37.375" style="131" customWidth="1"/>
    <col min="12810" max="12814" width="17.25" style="131" customWidth="1"/>
    <col min="12815" max="12816" width="2.375" style="131" customWidth="1"/>
    <col min="12817" max="12817" width="37.375" style="131" customWidth="1"/>
    <col min="12818" max="12822" width="17.25" style="131" customWidth="1"/>
    <col min="12823" max="12824" width="2.375" style="131" customWidth="1"/>
    <col min="12825" max="12825" width="37.375" style="131" customWidth="1"/>
    <col min="12826" max="12829" width="17.25" style="131" customWidth="1"/>
    <col min="12830" max="12830" width="18.125" style="131" customWidth="1"/>
    <col min="12831" max="12831" width="15.5" style="131" bestFit="1" customWidth="1"/>
    <col min="12832" max="12832" width="13.75" style="131" bestFit="1" customWidth="1"/>
    <col min="12833" max="12833" width="9.125" style="131" bestFit="1" customWidth="1"/>
    <col min="12834" max="12835" width="15.5" style="131" bestFit="1" customWidth="1"/>
    <col min="12836" max="12837" width="13.125" style="131" bestFit="1" customWidth="1"/>
    <col min="12838" max="13056" width="9" style="131"/>
    <col min="13057" max="13057" width="37.375" style="131" customWidth="1"/>
    <col min="13058" max="13062" width="17.25" style="131" customWidth="1"/>
    <col min="13063" max="13064" width="2.375" style="131" customWidth="1"/>
    <col min="13065" max="13065" width="37.375" style="131" customWidth="1"/>
    <col min="13066" max="13070" width="17.25" style="131" customWidth="1"/>
    <col min="13071" max="13072" width="2.375" style="131" customWidth="1"/>
    <col min="13073" max="13073" width="37.375" style="131" customWidth="1"/>
    <col min="13074" max="13078" width="17.25" style="131" customWidth="1"/>
    <col min="13079" max="13080" width="2.375" style="131" customWidth="1"/>
    <col min="13081" max="13081" width="37.375" style="131" customWidth="1"/>
    <col min="13082" max="13085" width="17.25" style="131" customWidth="1"/>
    <col min="13086" max="13086" width="18.125" style="131" customWidth="1"/>
    <col min="13087" max="13087" width="15.5" style="131" bestFit="1" customWidth="1"/>
    <col min="13088" max="13088" width="13.75" style="131" bestFit="1" customWidth="1"/>
    <col min="13089" max="13089" width="9.125" style="131" bestFit="1" customWidth="1"/>
    <col min="13090" max="13091" width="15.5" style="131" bestFit="1" customWidth="1"/>
    <col min="13092" max="13093" width="13.125" style="131" bestFit="1" customWidth="1"/>
    <col min="13094" max="13312" width="9" style="131"/>
    <col min="13313" max="13313" width="37.375" style="131" customWidth="1"/>
    <col min="13314" max="13318" width="17.25" style="131" customWidth="1"/>
    <col min="13319" max="13320" width="2.375" style="131" customWidth="1"/>
    <col min="13321" max="13321" width="37.375" style="131" customWidth="1"/>
    <col min="13322" max="13326" width="17.25" style="131" customWidth="1"/>
    <col min="13327" max="13328" width="2.375" style="131" customWidth="1"/>
    <col min="13329" max="13329" width="37.375" style="131" customWidth="1"/>
    <col min="13330" max="13334" width="17.25" style="131" customWidth="1"/>
    <col min="13335" max="13336" width="2.375" style="131" customWidth="1"/>
    <col min="13337" max="13337" width="37.375" style="131" customWidth="1"/>
    <col min="13338" max="13341" width="17.25" style="131" customWidth="1"/>
    <col min="13342" max="13342" width="18.125" style="131" customWidth="1"/>
    <col min="13343" max="13343" width="15.5" style="131" bestFit="1" customWidth="1"/>
    <col min="13344" max="13344" width="13.75" style="131" bestFit="1" customWidth="1"/>
    <col min="13345" max="13345" width="9.125" style="131" bestFit="1" customWidth="1"/>
    <col min="13346" max="13347" width="15.5" style="131" bestFit="1" customWidth="1"/>
    <col min="13348" max="13349" width="13.125" style="131" bestFit="1" customWidth="1"/>
    <col min="13350" max="13568" width="9" style="131"/>
    <col min="13569" max="13569" width="37.375" style="131" customWidth="1"/>
    <col min="13570" max="13574" width="17.25" style="131" customWidth="1"/>
    <col min="13575" max="13576" width="2.375" style="131" customWidth="1"/>
    <col min="13577" max="13577" width="37.375" style="131" customWidth="1"/>
    <col min="13578" max="13582" width="17.25" style="131" customWidth="1"/>
    <col min="13583" max="13584" width="2.375" style="131" customWidth="1"/>
    <col min="13585" max="13585" width="37.375" style="131" customWidth="1"/>
    <col min="13586" max="13590" width="17.25" style="131" customWidth="1"/>
    <col min="13591" max="13592" width="2.375" style="131" customWidth="1"/>
    <col min="13593" max="13593" width="37.375" style="131" customWidth="1"/>
    <col min="13594" max="13597" width="17.25" style="131" customWidth="1"/>
    <col min="13598" max="13598" width="18.125" style="131" customWidth="1"/>
    <col min="13599" max="13599" width="15.5" style="131" bestFit="1" customWidth="1"/>
    <col min="13600" max="13600" width="13.75" style="131" bestFit="1" customWidth="1"/>
    <col min="13601" max="13601" width="9.125" style="131" bestFit="1" customWidth="1"/>
    <col min="13602" max="13603" width="15.5" style="131" bestFit="1" customWidth="1"/>
    <col min="13604" max="13605" width="13.125" style="131" bestFit="1" customWidth="1"/>
    <col min="13606" max="13824" width="9" style="131"/>
    <col min="13825" max="13825" width="37.375" style="131" customWidth="1"/>
    <col min="13826" max="13830" width="17.25" style="131" customWidth="1"/>
    <col min="13831" max="13832" width="2.375" style="131" customWidth="1"/>
    <col min="13833" max="13833" width="37.375" style="131" customWidth="1"/>
    <col min="13834" max="13838" width="17.25" style="131" customWidth="1"/>
    <col min="13839" max="13840" width="2.375" style="131" customWidth="1"/>
    <col min="13841" max="13841" width="37.375" style="131" customWidth="1"/>
    <col min="13842" max="13846" width="17.25" style="131" customWidth="1"/>
    <col min="13847" max="13848" width="2.375" style="131" customWidth="1"/>
    <col min="13849" max="13849" width="37.375" style="131" customWidth="1"/>
    <col min="13850" max="13853" width="17.25" style="131" customWidth="1"/>
    <col min="13854" max="13854" width="18.125" style="131" customWidth="1"/>
    <col min="13855" max="13855" width="15.5" style="131" bestFit="1" customWidth="1"/>
    <col min="13856" max="13856" width="13.75" style="131" bestFit="1" customWidth="1"/>
    <col min="13857" max="13857" width="9.125" style="131" bestFit="1" customWidth="1"/>
    <col min="13858" max="13859" width="15.5" style="131" bestFit="1" customWidth="1"/>
    <col min="13860" max="13861" width="13.125" style="131" bestFit="1" customWidth="1"/>
    <col min="13862" max="14080" width="9" style="131"/>
    <col min="14081" max="14081" width="37.375" style="131" customWidth="1"/>
    <col min="14082" max="14086" width="17.25" style="131" customWidth="1"/>
    <col min="14087" max="14088" width="2.375" style="131" customWidth="1"/>
    <col min="14089" max="14089" width="37.375" style="131" customWidth="1"/>
    <col min="14090" max="14094" width="17.25" style="131" customWidth="1"/>
    <col min="14095" max="14096" width="2.375" style="131" customWidth="1"/>
    <col min="14097" max="14097" width="37.375" style="131" customWidth="1"/>
    <col min="14098" max="14102" width="17.25" style="131" customWidth="1"/>
    <col min="14103" max="14104" width="2.375" style="131" customWidth="1"/>
    <col min="14105" max="14105" width="37.375" style="131" customWidth="1"/>
    <col min="14106" max="14109" width="17.25" style="131" customWidth="1"/>
    <col min="14110" max="14110" width="18.125" style="131" customWidth="1"/>
    <col min="14111" max="14111" width="15.5" style="131" bestFit="1" customWidth="1"/>
    <col min="14112" max="14112" width="13.75" style="131" bestFit="1" customWidth="1"/>
    <col min="14113" max="14113" width="9.125" style="131" bestFit="1" customWidth="1"/>
    <col min="14114" max="14115" width="15.5" style="131" bestFit="1" customWidth="1"/>
    <col min="14116" max="14117" width="13.125" style="131" bestFit="1" customWidth="1"/>
    <col min="14118" max="14336" width="9" style="131"/>
    <col min="14337" max="14337" width="37.375" style="131" customWidth="1"/>
    <col min="14338" max="14342" width="17.25" style="131" customWidth="1"/>
    <col min="14343" max="14344" width="2.375" style="131" customWidth="1"/>
    <col min="14345" max="14345" width="37.375" style="131" customWidth="1"/>
    <col min="14346" max="14350" width="17.25" style="131" customWidth="1"/>
    <col min="14351" max="14352" width="2.375" style="131" customWidth="1"/>
    <col min="14353" max="14353" width="37.375" style="131" customWidth="1"/>
    <col min="14354" max="14358" width="17.25" style="131" customWidth="1"/>
    <col min="14359" max="14360" width="2.375" style="131" customWidth="1"/>
    <col min="14361" max="14361" width="37.375" style="131" customWidth="1"/>
    <col min="14362" max="14365" width="17.25" style="131" customWidth="1"/>
    <col min="14366" max="14366" width="18.125" style="131" customWidth="1"/>
    <col min="14367" max="14367" width="15.5" style="131" bestFit="1" customWidth="1"/>
    <col min="14368" max="14368" width="13.75" style="131" bestFit="1" customWidth="1"/>
    <col min="14369" max="14369" width="9.125" style="131" bestFit="1" customWidth="1"/>
    <col min="14370" max="14371" width="15.5" style="131" bestFit="1" customWidth="1"/>
    <col min="14372" max="14373" width="13.125" style="131" bestFit="1" customWidth="1"/>
    <col min="14374" max="14592" width="9" style="131"/>
    <col min="14593" max="14593" width="37.375" style="131" customWidth="1"/>
    <col min="14594" max="14598" width="17.25" style="131" customWidth="1"/>
    <col min="14599" max="14600" width="2.375" style="131" customWidth="1"/>
    <col min="14601" max="14601" width="37.375" style="131" customWidth="1"/>
    <col min="14602" max="14606" width="17.25" style="131" customWidth="1"/>
    <col min="14607" max="14608" width="2.375" style="131" customWidth="1"/>
    <col min="14609" max="14609" width="37.375" style="131" customWidth="1"/>
    <col min="14610" max="14614" width="17.25" style="131" customWidth="1"/>
    <col min="14615" max="14616" width="2.375" style="131" customWidth="1"/>
    <col min="14617" max="14617" width="37.375" style="131" customWidth="1"/>
    <col min="14618" max="14621" width="17.25" style="131" customWidth="1"/>
    <col min="14622" max="14622" width="18.125" style="131" customWidth="1"/>
    <col min="14623" max="14623" width="15.5" style="131" bestFit="1" customWidth="1"/>
    <col min="14624" max="14624" width="13.75" style="131" bestFit="1" customWidth="1"/>
    <col min="14625" max="14625" width="9.125" style="131" bestFit="1" customWidth="1"/>
    <col min="14626" max="14627" width="15.5" style="131" bestFit="1" customWidth="1"/>
    <col min="14628" max="14629" width="13.125" style="131" bestFit="1" customWidth="1"/>
    <col min="14630" max="14848" width="9" style="131"/>
    <col min="14849" max="14849" width="37.375" style="131" customWidth="1"/>
    <col min="14850" max="14854" width="17.25" style="131" customWidth="1"/>
    <col min="14855" max="14856" width="2.375" style="131" customWidth="1"/>
    <col min="14857" max="14857" width="37.375" style="131" customWidth="1"/>
    <col min="14858" max="14862" width="17.25" style="131" customWidth="1"/>
    <col min="14863" max="14864" width="2.375" style="131" customWidth="1"/>
    <col min="14865" max="14865" width="37.375" style="131" customWidth="1"/>
    <col min="14866" max="14870" width="17.25" style="131" customWidth="1"/>
    <col min="14871" max="14872" width="2.375" style="131" customWidth="1"/>
    <col min="14873" max="14873" width="37.375" style="131" customWidth="1"/>
    <col min="14874" max="14877" width="17.25" style="131" customWidth="1"/>
    <col min="14878" max="14878" width="18.125" style="131" customWidth="1"/>
    <col min="14879" max="14879" width="15.5" style="131" bestFit="1" customWidth="1"/>
    <col min="14880" max="14880" width="13.75" style="131" bestFit="1" customWidth="1"/>
    <col min="14881" max="14881" width="9.125" style="131" bestFit="1" customWidth="1"/>
    <col min="14882" max="14883" width="15.5" style="131" bestFit="1" customWidth="1"/>
    <col min="14884" max="14885" width="13.125" style="131" bestFit="1" customWidth="1"/>
    <col min="14886" max="15104" width="9" style="131"/>
    <col min="15105" max="15105" width="37.375" style="131" customWidth="1"/>
    <col min="15106" max="15110" width="17.25" style="131" customWidth="1"/>
    <col min="15111" max="15112" width="2.375" style="131" customWidth="1"/>
    <col min="15113" max="15113" width="37.375" style="131" customWidth="1"/>
    <col min="15114" max="15118" width="17.25" style="131" customWidth="1"/>
    <col min="15119" max="15120" width="2.375" style="131" customWidth="1"/>
    <col min="15121" max="15121" width="37.375" style="131" customWidth="1"/>
    <col min="15122" max="15126" width="17.25" style="131" customWidth="1"/>
    <col min="15127" max="15128" width="2.375" style="131" customWidth="1"/>
    <col min="15129" max="15129" width="37.375" style="131" customWidth="1"/>
    <col min="15130" max="15133" width="17.25" style="131" customWidth="1"/>
    <col min="15134" max="15134" width="18.125" style="131" customWidth="1"/>
    <col min="15135" max="15135" width="15.5" style="131" bestFit="1" customWidth="1"/>
    <col min="15136" max="15136" width="13.75" style="131" bestFit="1" customWidth="1"/>
    <col min="15137" max="15137" width="9.125" style="131" bestFit="1" customWidth="1"/>
    <col min="15138" max="15139" width="15.5" style="131" bestFit="1" customWidth="1"/>
    <col min="15140" max="15141" width="13.125" style="131" bestFit="1" customWidth="1"/>
    <col min="15142" max="15360" width="9" style="131"/>
    <col min="15361" max="15361" width="37.375" style="131" customWidth="1"/>
    <col min="15362" max="15366" width="17.25" style="131" customWidth="1"/>
    <col min="15367" max="15368" width="2.375" style="131" customWidth="1"/>
    <col min="15369" max="15369" width="37.375" style="131" customWidth="1"/>
    <col min="15370" max="15374" width="17.25" style="131" customWidth="1"/>
    <col min="15375" max="15376" width="2.375" style="131" customWidth="1"/>
    <col min="15377" max="15377" width="37.375" style="131" customWidth="1"/>
    <col min="15378" max="15382" width="17.25" style="131" customWidth="1"/>
    <col min="15383" max="15384" width="2.375" style="131" customWidth="1"/>
    <col min="15385" max="15385" width="37.375" style="131" customWidth="1"/>
    <col min="15386" max="15389" width="17.25" style="131" customWidth="1"/>
    <col min="15390" max="15390" width="18.125" style="131" customWidth="1"/>
    <col min="15391" max="15391" width="15.5" style="131" bestFit="1" customWidth="1"/>
    <col min="15392" max="15392" width="13.75" style="131" bestFit="1" customWidth="1"/>
    <col min="15393" max="15393" width="9.125" style="131" bestFit="1" customWidth="1"/>
    <col min="15394" max="15395" width="15.5" style="131" bestFit="1" customWidth="1"/>
    <col min="15396" max="15397" width="13.125" style="131" bestFit="1" customWidth="1"/>
    <col min="15398" max="15616" width="9" style="131"/>
    <col min="15617" max="15617" width="37.375" style="131" customWidth="1"/>
    <col min="15618" max="15622" width="17.25" style="131" customWidth="1"/>
    <col min="15623" max="15624" width="2.375" style="131" customWidth="1"/>
    <col min="15625" max="15625" width="37.375" style="131" customWidth="1"/>
    <col min="15626" max="15630" width="17.25" style="131" customWidth="1"/>
    <col min="15631" max="15632" width="2.375" style="131" customWidth="1"/>
    <col min="15633" max="15633" width="37.375" style="131" customWidth="1"/>
    <col min="15634" max="15638" width="17.25" style="131" customWidth="1"/>
    <col min="15639" max="15640" width="2.375" style="131" customWidth="1"/>
    <col min="15641" max="15641" width="37.375" style="131" customWidth="1"/>
    <col min="15642" max="15645" width="17.25" style="131" customWidth="1"/>
    <col min="15646" max="15646" width="18.125" style="131" customWidth="1"/>
    <col min="15647" max="15647" width="15.5" style="131" bestFit="1" customWidth="1"/>
    <col min="15648" max="15648" width="13.75" style="131" bestFit="1" customWidth="1"/>
    <col min="15649" max="15649" width="9.125" style="131" bestFit="1" customWidth="1"/>
    <col min="15650" max="15651" width="15.5" style="131" bestFit="1" customWidth="1"/>
    <col min="15652" max="15653" width="13.125" style="131" bestFit="1" customWidth="1"/>
    <col min="15654" max="15872" width="9" style="131"/>
    <col min="15873" max="15873" width="37.375" style="131" customWidth="1"/>
    <col min="15874" max="15878" width="17.25" style="131" customWidth="1"/>
    <col min="15879" max="15880" width="2.375" style="131" customWidth="1"/>
    <col min="15881" max="15881" width="37.375" style="131" customWidth="1"/>
    <col min="15882" max="15886" width="17.25" style="131" customWidth="1"/>
    <col min="15887" max="15888" width="2.375" style="131" customWidth="1"/>
    <col min="15889" max="15889" width="37.375" style="131" customWidth="1"/>
    <col min="15890" max="15894" width="17.25" style="131" customWidth="1"/>
    <col min="15895" max="15896" width="2.375" style="131" customWidth="1"/>
    <col min="15897" max="15897" width="37.375" style="131" customWidth="1"/>
    <col min="15898" max="15901" width="17.25" style="131" customWidth="1"/>
    <col min="15902" max="15902" width="18.125" style="131" customWidth="1"/>
    <col min="15903" max="15903" width="15.5" style="131" bestFit="1" customWidth="1"/>
    <col min="15904" max="15904" width="13.75" style="131" bestFit="1" customWidth="1"/>
    <col min="15905" max="15905" width="9.125" style="131" bestFit="1" customWidth="1"/>
    <col min="15906" max="15907" width="15.5" style="131" bestFit="1" customWidth="1"/>
    <col min="15908" max="15909" width="13.125" style="131" bestFit="1" customWidth="1"/>
    <col min="15910" max="16128" width="9" style="131"/>
    <col min="16129" max="16129" width="37.375" style="131" customWidth="1"/>
    <col min="16130" max="16134" width="17.25" style="131" customWidth="1"/>
    <col min="16135" max="16136" width="2.375" style="131" customWidth="1"/>
    <col min="16137" max="16137" width="37.375" style="131" customWidth="1"/>
    <col min="16138" max="16142" width="17.25" style="131" customWidth="1"/>
    <col min="16143" max="16144" width="2.375" style="131" customWidth="1"/>
    <col min="16145" max="16145" width="37.375" style="131" customWidth="1"/>
    <col min="16146" max="16150" width="17.25" style="131" customWidth="1"/>
    <col min="16151" max="16152" width="2.375" style="131" customWidth="1"/>
    <col min="16153" max="16153" width="37.375" style="131" customWidth="1"/>
    <col min="16154" max="16157" width="17.25" style="131" customWidth="1"/>
    <col min="16158" max="16158" width="18.125" style="131" customWidth="1"/>
    <col min="16159" max="16159" width="15.5" style="131" bestFit="1" customWidth="1"/>
    <col min="16160" max="16160" width="13.75" style="131" bestFit="1" customWidth="1"/>
    <col min="16161" max="16161" width="9.125" style="131" bestFit="1" customWidth="1"/>
    <col min="16162" max="16163" width="15.5" style="131" bestFit="1" customWidth="1"/>
    <col min="16164" max="16165" width="13.125" style="131" bestFit="1" customWidth="1"/>
    <col min="16166" max="16384" width="9" style="131"/>
  </cols>
  <sheetData>
    <row r="1" spans="1:37">
      <c r="A1" s="127" t="s">
        <v>32</v>
      </c>
      <c r="B1" s="128"/>
      <c r="C1" s="128"/>
      <c r="D1" s="128"/>
      <c r="E1" s="128"/>
      <c r="F1" s="129"/>
      <c r="I1" s="127" t="s">
        <v>32</v>
      </c>
      <c r="J1" s="128"/>
      <c r="K1" s="128"/>
      <c r="L1" s="128"/>
      <c r="M1" s="128"/>
      <c r="N1" s="129"/>
      <c r="Q1" s="127" t="s">
        <v>32</v>
      </c>
      <c r="R1" s="128"/>
      <c r="S1" s="128"/>
      <c r="T1" s="128"/>
      <c r="U1" s="128"/>
      <c r="V1" s="129"/>
      <c r="Y1" s="127" t="s">
        <v>32</v>
      </c>
      <c r="Z1" s="128"/>
      <c r="AA1" s="128"/>
      <c r="AB1" s="128"/>
      <c r="AC1" s="128"/>
      <c r="AD1" s="129"/>
    </row>
    <row r="2" spans="1:37">
      <c r="A2" s="127" t="s">
        <v>97</v>
      </c>
      <c r="B2" s="128"/>
      <c r="C2" s="128"/>
      <c r="D2" s="128"/>
      <c r="E2" s="128"/>
      <c r="F2" s="129"/>
      <c r="I2" s="127" t="s">
        <v>97</v>
      </c>
      <c r="J2" s="128"/>
      <c r="K2" s="128"/>
      <c r="L2" s="128"/>
      <c r="M2" s="128"/>
      <c r="N2" s="129"/>
      <c r="Q2" s="127" t="s">
        <v>97</v>
      </c>
      <c r="R2" s="128"/>
      <c r="S2" s="128"/>
      <c r="T2" s="128"/>
      <c r="U2" s="128"/>
      <c r="V2" s="129"/>
      <c r="Y2" s="127" t="s">
        <v>97</v>
      </c>
      <c r="Z2" s="128"/>
      <c r="AA2" s="128"/>
      <c r="AB2" s="128"/>
      <c r="AC2" s="128"/>
      <c r="AD2" s="129"/>
    </row>
    <row r="3" spans="1:37">
      <c r="A3" s="127" t="s">
        <v>110</v>
      </c>
      <c r="B3" s="128"/>
      <c r="C3" s="128"/>
      <c r="D3" s="128"/>
      <c r="E3" s="128"/>
      <c r="F3" s="129"/>
      <c r="I3" s="127" t="s">
        <v>117</v>
      </c>
      <c r="J3" s="128"/>
      <c r="K3" s="128"/>
      <c r="L3" s="128"/>
      <c r="M3" s="128"/>
      <c r="N3" s="129"/>
      <c r="Q3" s="127" t="s">
        <v>107</v>
      </c>
      <c r="R3" s="128"/>
      <c r="S3" s="128"/>
      <c r="T3" s="128"/>
      <c r="U3" s="128"/>
      <c r="V3" s="129"/>
      <c r="Y3" s="127" t="s">
        <v>128</v>
      </c>
      <c r="Z3" s="128"/>
      <c r="AA3" s="128"/>
      <c r="AB3" s="128"/>
      <c r="AC3" s="128"/>
      <c r="AD3" s="129"/>
    </row>
    <row r="4" spans="1:37">
      <c r="A4" s="132" t="s">
        <v>34</v>
      </c>
      <c r="B4" s="128"/>
      <c r="C4" s="128"/>
      <c r="D4" s="128"/>
      <c r="E4" s="128"/>
      <c r="F4" s="129"/>
      <c r="I4" s="132" t="s">
        <v>34</v>
      </c>
      <c r="J4" s="128"/>
      <c r="K4" s="128"/>
      <c r="L4" s="128"/>
      <c r="M4" s="128"/>
      <c r="N4" s="129"/>
      <c r="Q4" s="132" t="s">
        <v>34</v>
      </c>
      <c r="R4" s="128"/>
      <c r="S4" s="128"/>
      <c r="T4" s="128"/>
      <c r="U4" s="128"/>
      <c r="V4" s="129"/>
      <c r="Y4" s="132" t="s">
        <v>34</v>
      </c>
      <c r="Z4" s="128"/>
      <c r="AA4" s="128"/>
      <c r="AB4" s="128"/>
      <c r="AC4" s="128"/>
      <c r="AD4" s="129"/>
    </row>
    <row r="5" spans="1:37">
      <c r="A5" s="133" t="s">
        <v>94</v>
      </c>
      <c r="B5" s="134"/>
      <c r="C5" s="134"/>
      <c r="D5" s="134"/>
      <c r="E5" s="134"/>
      <c r="F5" s="135"/>
      <c r="I5" s="133" t="s">
        <v>94</v>
      </c>
      <c r="J5" s="134"/>
      <c r="K5" s="134"/>
      <c r="L5" s="134"/>
      <c r="M5" s="134"/>
      <c r="N5" s="135"/>
      <c r="Q5" s="133" t="s">
        <v>94</v>
      </c>
      <c r="R5" s="134"/>
      <c r="S5" s="134"/>
      <c r="T5" s="134"/>
      <c r="U5" s="134"/>
      <c r="V5" s="135"/>
      <c r="Y5" s="133" t="s">
        <v>94</v>
      </c>
      <c r="Z5" s="134"/>
      <c r="AA5" s="134"/>
      <c r="AB5" s="134"/>
      <c r="AC5" s="134"/>
      <c r="AD5" s="135"/>
    </row>
    <row r="6" spans="1:37">
      <c r="A6" s="133"/>
      <c r="B6" s="134"/>
      <c r="C6" s="134"/>
      <c r="D6" s="134"/>
      <c r="E6" s="136" t="s">
        <v>43</v>
      </c>
      <c r="F6" s="135"/>
      <c r="I6" s="133"/>
      <c r="J6" s="134"/>
      <c r="K6" s="134"/>
      <c r="L6" s="134"/>
      <c r="M6" s="136" t="s">
        <v>43</v>
      </c>
      <c r="N6" s="135"/>
      <c r="Q6" s="133"/>
      <c r="R6" s="134"/>
      <c r="S6" s="134"/>
      <c r="T6" s="134"/>
      <c r="U6" s="136" t="s">
        <v>43</v>
      </c>
      <c r="V6" s="135"/>
      <c r="Y6" s="133"/>
      <c r="Z6" s="134"/>
      <c r="AA6" s="134"/>
      <c r="AB6" s="134"/>
      <c r="AC6" s="136" t="s">
        <v>43</v>
      </c>
      <c r="AD6" s="135"/>
    </row>
    <row r="7" spans="1:37">
      <c r="A7" s="133"/>
      <c r="B7" s="137" t="s">
        <v>10</v>
      </c>
      <c r="C7" s="137" t="s">
        <v>11</v>
      </c>
      <c r="D7" s="137" t="s">
        <v>12</v>
      </c>
      <c r="E7" s="137" t="s">
        <v>35</v>
      </c>
      <c r="F7" s="138" t="s">
        <v>13</v>
      </c>
      <c r="I7" s="133"/>
      <c r="J7" s="137" t="s">
        <v>10</v>
      </c>
      <c r="K7" s="137" t="s">
        <v>11</v>
      </c>
      <c r="L7" s="137" t="s">
        <v>12</v>
      </c>
      <c r="M7" s="137" t="s">
        <v>35</v>
      </c>
      <c r="N7" s="138" t="s">
        <v>13</v>
      </c>
      <c r="Q7" s="133"/>
      <c r="R7" s="137" t="s">
        <v>10</v>
      </c>
      <c r="S7" s="137" t="s">
        <v>11</v>
      </c>
      <c r="T7" s="137" t="s">
        <v>12</v>
      </c>
      <c r="U7" s="137" t="s">
        <v>35</v>
      </c>
      <c r="V7" s="138" t="s">
        <v>13</v>
      </c>
      <c r="Y7" s="133"/>
      <c r="Z7" s="137" t="s">
        <v>10</v>
      </c>
      <c r="AA7" s="137" t="s">
        <v>11</v>
      </c>
      <c r="AB7" s="137" t="s">
        <v>12</v>
      </c>
      <c r="AC7" s="137" t="s">
        <v>35</v>
      </c>
      <c r="AD7" s="138" t="s">
        <v>13</v>
      </c>
      <c r="AH7" s="139">
        <v>40513</v>
      </c>
      <c r="AI7" s="139">
        <v>40238</v>
      </c>
      <c r="AJ7" s="139">
        <v>40603</v>
      </c>
      <c r="AK7" s="131" t="s">
        <v>19</v>
      </c>
    </row>
    <row r="8" spans="1:37">
      <c r="A8" s="140" t="s">
        <v>49</v>
      </c>
      <c r="B8" s="135">
        <v>197462508.64000002</v>
      </c>
      <c r="C8" s="135">
        <v>197462508.64000002</v>
      </c>
      <c r="D8" s="135">
        <v>197462508.64000002</v>
      </c>
      <c r="E8" s="134"/>
      <c r="F8" s="135">
        <v>197462508.64000002</v>
      </c>
      <c r="I8" s="140" t="s">
        <v>49</v>
      </c>
      <c r="J8" s="135">
        <v>43644790.949999996</v>
      </c>
      <c r="K8" s="135">
        <v>43644790.949999996</v>
      </c>
      <c r="L8" s="135">
        <v>43644790.949999996</v>
      </c>
      <c r="M8" s="134"/>
      <c r="N8" s="135">
        <v>43644790.949999996</v>
      </c>
      <c r="Q8" s="140" t="s">
        <v>49</v>
      </c>
      <c r="R8" s="135">
        <v>20573583.32</v>
      </c>
      <c r="S8" s="135">
        <v>20573583.32</v>
      </c>
      <c r="T8" s="135">
        <v>20573583.32</v>
      </c>
      <c r="U8" s="134"/>
      <c r="V8" s="135">
        <v>20573583.32</v>
      </c>
      <c r="Y8" s="140" t="s">
        <v>49</v>
      </c>
      <c r="Z8" s="135">
        <f>+AD8</f>
        <v>174391301.01000002</v>
      </c>
      <c r="AA8" s="135">
        <f>+AD8</f>
        <v>174391301.01000002</v>
      </c>
      <c r="AB8" s="135">
        <f>+Z8</f>
        <v>174391301.01000002</v>
      </c>
      <c r="AC8" s="134"/>
      <c r="AD8" s="135">
        <f>+F8-N8+V8</f>
        <v>174391301.01000002</v>
      </c>
      <c r="AG8" s="131" t="s">
        <v>124</v>
      </c>
      <c r="AH8" s="141"/>
      <c r="AI8" s="141"/>
      <c r="AJ8" s="141"/>
      <c r="AK8" s="141">
        <f>+AH8-AI8+AJ8</f>
        <v>0</v>
      </c>
    </row>
    <row r="9" spans="1:37">
      <c r="A9" s="142" t="s">
        <v>64</v>
      </c>
      <c r="B9" s="143">
        <v>-2553129.0299999998</v>
      </c>
      <c r="C9" s="143">
        <v>-2553129.0299999998</v>
      </c>
      <c r="D9" s="143">
        <v>-2553129.0299999998</v>
      </c>
      <c r="E9" s="134"/>
      <c r="F9" s="143">
        <v>-2553129.0299999998</v>
      </c>
      <c r="I9" s="142" t="s">
        <v>64</v>
      </c>
      <c r="J9" s="143">
        <v>-2593996.96</v>
      </c>
      <c r="K9" s="143">
        <v>-2593996.96</v>
      </c>
      <c r="L9" s="143">
        <v>-2593996.96</v>
      </c>
      <c r="M9" s="134"/>
      <c r="N9" s="143">
        <v>-2593996.96</v>
      </c>
      <c r="Q9" s="142" t="s">
        <v>64</v>
      </c>
      <c r="R9" s="143">
        <v>-2159082.2799999998</v>
      </c>
      <c r="S9" s="143">
        <v>-2159082.2799999998</v>
      </c>
      <c r="T9" s="143">
        <v>-2159082.2799999998</v>
      </c>
      <c r="U9" s="134"/>
      <c r="V9" s="143">
        <v>-2159082.2799999998</v>
      </c>
      <c r="Y9" s="142" t="s">
        <v>64</v>
      </c>
      <c r="Z9" s="143">
        <f>+AD9</f>
        <v>-2118214.3499999996</v>
      </c>
      <c r="AA9" s="143">
        <f>+AD9</f>
        <v>-2118214.3499999996</v>
      </c>
      <c r="AB9" s="143">
        <f>+Z9</f>
        <v>-2118214.3499999996</v>
      </c>
      <c r="AC9" s="134"/>
      <c r="AD9" s="143">
        <f>+F9-N9+V9</f>
        <v>-2118214.3499999996</v>
      </c>
      <c r="AG9" s="131" t="s">
        <v>125</v>
      </c>
      <c r="AH9" s="141">
        <f>+F71</f>
        <v>72799132.450000003</v>
      </c>
      <c r="AI9" s="141">
        <f>+N71</f>
        <v>15183509.584143998</v>
      </c>
      <c r="AJ9" s="141">
        <f>+V71</f>
        <v>6899463.2199999979</v>
      </c>
      <c r="AK9" s="141">
        <f>+AH9-AI9+AJ9</f>
        <v>64515086.085856006</v>
      </c>
    </row>
    <row r="10" spans="1:37">
      <c r="A10" s="144" t="s">
        <v>49</v>
      </c>
      <c r="B10" s="135">
        <v>194909379.61000001</v>
      </c>
      <c r="C10" s="135">
        <v>194909379.61000001</v>
      </c>
      <c r="D10" s="135">
        <v>194909379.61000001</v>
      </c>
      <c r="E10" s="134"/>
      <c r="F10" s="145">
        <v>194909379.61000001</v>
      </c>
      <c r="I10" s="144" t="s">
        <v>49</v>
      </c>
      <c r="J10" s="135">
        <v>41050793.989999995</v>
      </c>
      <c r="K10" s="135">
        <v>41050793.989999995</v>
      </c>
      <c r="L10" s="135">
        <v>41050793.989999995</v>
      </c>
      <c r="M10" s="134"/>
      <c r="N10" s="145">
        <v>41050793.989999995</v>
      </c>
      <c r="Q10" s="144" t="s">
        <v>49</v>
      </c>
      <c r="R10" s="135">
        <v>18414501.039999999</v>
      </c>
      <c r="S10" s="135">
        <v>18414501.039999999</v>
      </c>
      <c r="T10" s="135">
        <v>18414501.039999999</v>
      </c>
      <c r="U10" s="134"/>
      <c r="V10" s="145">
        <v>18414501.039999999</v>
      </c>
      <c r="Y10" s="144" t="s">
        <v>49</v>
      </c>
      <c r="Z10" s="135">
        <f>+Z8+Z9</f>
        <v>172273086.66000003</v>
      </c>
      <c r="AA10" s="135">
        <f>+AA8+AA9</f>
        <v>172273086.66000003</v>
      </c>
      <c r="AB10" s="135">
        <f>+AB8+AB9</f>
        <v>172273086.66000003</v>
      </c>
      <c r="AC10" s="134"/>
      <c r="AD10" s="135">
        <f>+AD8+AD9</f>
        <v>172273086.66000003</v>
      </c>
      <c r="AE10" s="141"/>
      <c r="AG10" s="131" t="s">
        <v>126</v>
      </c>
      <c r="AH10" s="146">
        <f>SUM(AH8:AH9)</f>
        <v>72799132.450000003</v>
      </c>
      <c r="AI10" s="146">
        <f>SUM(AI8:AI9)</f>
        <v>15183509.584143998</v>
      </c>
      <c r="AJ10" s="146">
        <f>SUM(AJ8:AJ9)</f>
        <v>6899463.2199999979</v>
      </c>
      <c r="AK10" s="146">
        <f>SUM(AK8:AK9)</f>
        <v>64515086.085856006</v>
      </c>
    </row>
    <row r="11" spans="1:37">
      <c r="A11" s="140"/>
      <c r="B11" s="135"/>
      <c r="C11" s="135"/>
      <c r="D11" s="135"/>
      <c r="E11" s="134"/>
      <c r="F11" s="147"/>
      <c r="I11" s="140"/>
      <c r="J11" s="135"/>
      <c r="K11" s="135"/>
      <c r="L11" s="135"/>
      <c r="M11" s="134"/>
      <c r="N11" s="147"/>
      <c r="Q11" s="140"/>
      <c r="R11" s="135"/>
      <c r="S11" s="135"/>
      <c r="T11" s="135"/>
      <c r="U11" s="134"/>
      <c r="V11" s="147"/>
      <c r="Y11" s="140"/>
      <c r="Z11" s="135"/>
      <c r="AA11" s="135"/>
      <c r="AB11" s="135"/>
      <c r="AC11" s="134"/>
      <c r="AD11" s="147"/>
      <c r="AE11" s="141"/>
    </row>
    <row r="12" spans="1:37">
      <c r="A12" s="148" t="s">
        <v>14</v>
      </c>
      <c r="B12" s="135"/>
      <c r="C12" s="134"/>
      <c r="D12" s="134"/>
      <c r="E12" s="134"/>
      <c r="F12" s="135"/>
      <c r="I12" s="148" t="s">
        <v>14</v>
      </c>
      <c r="J12" s="135"/>
      <c r="K12" s="134"/>
      <c r="L12" s="134"/>
      <c r="M12" s="134"/>
      <c r="N12" s="135"/>
      <c r="Q12" s="148" t="s">
        <v>14</v>
      </c>
      <c r="R12" s="135"/>
      <c r="S12" s="134"/>
      <c r="T12" s="134"/>
      <c r="U12" s="134"/>
      <c r="V12" s="135"/>
      <c r="Y12" s="148" t="s">
        <v>14</v>
      </c>
      <c r="Z12" s="135"/>
      <c r="AA12" s="134"/>
      <c r="AB12" s="134"/>
      <c r="AC12" s="134"/>
      <c r="AD12" s="135"/>
      <c r="AH12" s="149"/>
    </row>
    <row r="13" spans="1:37">
      <c r="A13" s="133" t="s">
        <v>15</v>
      </c>
      <c r="B13" s="134"/>
      <c r="C13" s="134"/>
      <c r="D13" s="134"/>
      <c r="E13" s="134">
        <f>33870.72+9554.9-5350041.15+50126.73+7212816.35</f>
        <v>1956327.5499999998</v>
      </c>
      <c r="F13" s="135"/>
      <c r="I13" s="133" t="s">
        <v>15</v>
      </c>
      <c r="J13" s="134"/>
      <c r="K13" s="134"/>
      <c r="L13" s="134"/>
      <c r="M13" s="134"/>
      <c r="N13" s="135"/>
      <c r="Q13" s="133" t="s">
        <v>15</v>
      </c>
      <c r="R13" s="134"/>
      <c r="S13" s="134"/>
      <c r="T13" s="134"/>
      <c r="U13" s="134"/>
      <c r="V13" s="135"/>
      <c r="Y13" s="133" t="s">
        <v>15</v>
      </c>
      <c r="Z13" s="134"/>
      <c r="AA13" s="134"/>
      <c r="AB13" s="134"/>
      <c r="AC13" s="134"/>
      <c r="AD13" s="135"/>
      <c r="AH13" s="150"/>
    </row>
    <row r="14" spans="1:37">
      <c r="A14" s="133" t="s">
        <v>16</v>
      </c>
      <c r="B14" s="135">
        <v>1956327.2</v>
      </c>
      <c r="C14" s="135">
        <v>1956327.2</v>
      </c>
      <c r="D14" s="135">
        <v>1956327.2</v>
      </c>
      <c r="E14" s="135"/>
      <c r="F14" s="135">
        <v>1956327.2</v>
      </c>
      <c r="I14" s="133" t="s">
        <v>16</v>
      </c>
      <c r="J14" s="135">
        <v>476186.08000000007</v>
      </c>
      <c r="K14" s="135">
        <v>476186.08000000007</v>
      </c>
      <c r="L14" s="135">
        <v>476186.08000000007</v>
      </c>
      <c r="M14" s="135"/>
      <c r="N14" s="135">
        <v>476186.08000000007</v>
      </c>
      <c r="Q14" s="133" t="s">
        <v>16</v>
      </c>
      <c r="R14" s="135">
        <v>531538.62</v>
      </c>
      <c r="S14" s="135">
        <v>531538.62</v>
      </c>
      <c r="T14" s="135">
        <v>531538.62</v>
      </c>
      <c r="U14" s="135"/>
      <c r="V14" s="135">
        <v>531538.62</v>
      </c>
      <c r="Y14" s="133" t="s">
        <v>16</v>
      </c>
      <c r="Z14" s="135">
        <f>+AD14</f>
        <v>2011679.7399999998</v>
      </c>
      <c r="AA14" s="135">
        <f>+AD14</f>
        <v>2011679.7399999998</v>
      </c>
      <c r="AB14" s="135">
        <f>+AD14</f>
        <v>2011679.7399999998</v>
      </c>
      <c r="AC14" s="135"/>
      <c r="AD14" s="135">
        <f t="shared" ref="AD14:AD19" si="0">+F14-N14+V14</f>
        <v>2011679.7399999998</v>
      </c>
    </row>
    <row r="15" spans="1:37">
      <c r="A15" s="140" t="s">
        <v>1</v>
      </c>
      <c r="B15" s="135">
        <v>-20509.309999999823</v>
      </c>
      <c r="C15" s="135">
        <v>-20509.309999999823</v>
      </c>
      <c r="D15" s="135">
        <v>-20509.309999999823</v>
      </c>
      <c r="E15" s="135"/>
      <c r="F15" s="135">
        <v>0</v>
      </c>
      <c r="I15" s="140" t="s">
        <v>1</v>
      </c>
      <c r="J15" s="135">
        <v>-787.3775000000046</v>
      </c>
      <c r="K15" s="135">
        <v>-787.3775000000046</v>
      </c>
      <c r="L15" s="135">
        <v>-787.3775000000046</v>
      </c>
      <c r="M15" s="135"/>
      <c r="N15" s="135">
        <v>0</v>
      </c>
      <c r="Q15" s="140" t="s">
        <v>1</v>
      </c>
      <c r="R15" s="135">
        <v>-7202.4925000000603</v>
      </c>
      <c r="S15" s="135">
        <v>-7202.4925000000603</v>
      </c>
      <c r="T15" s="135">
        <v>-7202.4925000000603</v>
      </c>
      <c r="U15" s="135"/>
      <c r="V15" s="135">
        <v>0</v>
      </c>
      <c r="Y15" s="140" t="s">
        <v>1</v>
      </c>
      <c r="Z15" s="135">
        <f>+B15-J15+R15</f>
        <v>-26924.424999999879</v>
      </c>
      <c r="AA15" s="135">
        <f>+Z15</f>
        <v>-26924.424999999879</v>
      </c>
      <c r="AB15" s="135">
        <f>+Z15</f>
        <v>-26924.424999999879</v>
      </c>
      <c r="AC15" s="135"/>
      <c r="AD15" s="135">
        <f t="shared" si="0"/>
        <v>0</v>
      </c>
    </row>
    <row r="16" spans="1:37">
      <c r="A16" s="133" t="s">
        <v>17</v>
      </c>
      <c r="B16" s="135">
        <v>254516.65</v>
      </c>
      <c r="C16" s="135">
        <v>254516.65</v>
      </c>
      <c r="D16" s="135">
        <v>254516.65</v>
      </c>
      <c r="E16" s="134"/>
      <c r="F16" s="145">
        <v>254516.65</v>
      </c>
      <c r="I16" s="133" t="s">
        <v>17</v>
      </c>
      <c r="J16" s="135">
        <v>37347.839999999997</v>
      </c>
      <c r="K16" s="135">
        <v>37347.839999999997</v>
      </c>
      <c r="L16" s="135">
        <v>37347.839999999997</v>
      </c>
      <c r="M16" s="134"/>
      <c r="N16" s="135">
        <v>37347.839999999997</v>
      </c>
      <c r="Q16" s="133" t="s">
        <v>17</v>
      </c>
      <c r="R16" s="135">
        <v>57354.18</v>
      </c>
      <c r="S16" s="135">
        <v>57354.18</v>
      </c>
      <c r="T16" s="135">
        <v>57354.18</v>
      </c>
      <c r="U16" s="134"/>
      <c r="V16" s="135">
        <v>57354.18</v>
      </c>
      <c r="Y16" s="133" t="s">
        <v>17</v>
      </c>
      <c r="Z16" s="135">
        <f>+AD16</f>
        <v>274522.99</v>
      </c>
      <c r="AA16" s="135">
        <f>+AD16</f>
        <v>274522.99</v>
      </c>
      <c r="AB16" s="135">
        <f>+AD16</f>
        <v>274522.99</v>
      </c>
      <c r="AC16" s="134"/>
      <c r="AD16" s="135">
        <f t="shared" si="0"/>
        <v>274522.99</v>
      </c>
    </row>
    <row r="17" spans="1:30">
      <c r="A17" s="140" t="s">
        <v>74</v>
      </c>
      <c r="B17" s="135">
        <v>72000</v>
      </c>
      <c r="C17" s="135">
        <v>72000</v>
      </c>
      <c r="D17" s="135">
        <v>72000</v>
      </c>
      <c r="E17" s="134"/>
      <c r="F17" s="145">
        <v>72000</v>
      </c>
      <c r="I17" s="140" t="s">
        <v>74</v>
      </c>
      <c r="J17" s="135">
        <v>18000</v>
      </c>
      <c r="K17" s="135">
        <v>18000</v>
      </c>
      <c r="L17" s="135">
        <v>18000</v>
      </c>
      <c r="M17" s="134"/>
      <c r="N17" s="135">
        <v>18000</v>
      </c>
      <c r="Q17" s="140" t="s">
        <v>74</v>
      </c>
      <c r="R17" s="135">
        <v>15000</v>
      </c>
      <c r="S17" s="135">
        <v>15000</v>
      </c>
      <c r="T17" s="135">
        <v>15000</v>
      </c>
      <c r="U17" s="134"/>
      <c r="V17" s="135">
        <v>15000</v>
      </c>
      <c r="Y17" s="140" t="s">
        <v>74</v>
      </c>
      <c r="Z17" s="135">
        <f>+AD17</f>
        <v>69000</v>
      </c>
      <c r="AA17" s="135">
        <f>+AD17</f>
        <v>69000</v>
      </c>
      <c r="AB17" s="135">
        <f>+AD17</f>
        <v>69000</v>
      </c>
      <c r="AC17" s="134"/>
      <c r="AD17" s="135">
        <f t="shared" si="0"/>
        <v>69000</v>
      </c>
    </row>
    <row r="18" spans="1:30">
      <c r="A18" s="133" t="s">
        <v>50</v>
      </c>
      <c r="B18" s="135">
        <v>0</v>
      </c>
      <c r="C18" s="135">
        <v>0</v>
      </c>
      <c r="D18" s="135">
        <v>0</v>
      </c>
      <c r="E18" s="134"/>
      <c r="F18" s="135">
        <v>0</v>
      </c>
      <c r="I18" s="133" t="s">
        <v>50</v>
      </c>
      <c r="J18" s="135">
        <v>0</v>
      </c>
      <c r="K18" s="135">
        <v>0</v>
      </c>
      <c r="L18" s="135">
        <v>0</v>
      </c>
      <c r="M18" s="134"/>
      <c r="N18" s="135">
        <v>0</v>
      </c>
      <c r="Q18" s="133" t="s">
        <v>50</v>
      </c>
      <c r="R18" s="135">
        <v>0</v>
      </c>
      <c r="S18" s="135">
        <v>0</v>
      </c>
      <c r="T18" s="135">
        <v>0</v>
      </c>
      <c r="U18" s="134"/>
      <c r="V18" s="135">
        <v>0</v>
      </c>
      <c r="Y18" s="133" t="s">
        <v>50</v>
      </c>
      <c r="Z18" s="135">
        <f>+AD18</f>
        <v>0</v>
      </c>
      <c r="AA18" s="135">
        <f>+AD18</f>
        <v>0</v>
      </c>
      <c r="AB18" s="135">
        <f>+AD18</f>
        <v>0</v>
      </c>
      <c r="AC18" s="134"/>
      <c r="AD18" s="135">
        <f t="shared" si="0"/>
        <v>0</v>
      </c>
    </row>
    <row r="19" spans="1:30">
      <c r="A19" s="133" t="s">
        <v>92</v>
      </c>
      <c r="B19" s="143">
        <v>0</v>
      </c>
      <c r="C19" s="143">
        <v>0</v>
      </c>
      <c r="D19" s="143">
        <v>0</v>
      </c>
      <c r="E19" s="135"/>
      <c r="F19" s="143">
        <v>0</v>
      </c>
      <c r="I19" s="133" t="s">
        <v>92</v>
      </c>
      <c r="J19" s="143">
        <v>0</v>
      </c>
      <c r="K19" s="143">
        <v>0</v>
      </c>
      <c r="L19" s="143">
        <v>0</v>
      </c>
      <c r="M19" s="134"/>
      <c r="N19" s="143">
        <v>0</v>
      </c>
      <c r="Q19" s="133" t="s">
        <v>92</v>
      </c>
      <c r="R19" s="143">
        <v>0</v>
      </c>
      <c r="S19" s="143">
        <v>0</v>
      </c>
      <c r="T19" s="143">
        <v>0</v>
      </c>
      <c r="U19" s="134"/>
      <c r="V19" s="143">
        <v>0</v>
      </c>
      <c r="Y19" s="133" t="s">
        <v>92</v>
      </c>
      <c r="Z19" s="143">
        <f>+AD19</f>
        <v>0</v>
      </c>
      <c r="AA19" s="143">
        <f>+AD19</f>
        <v>0</v>
      </c>
      <c r="AB19" s="143">
        <f>+AD19</f>
        <v>0</v>
      </c>
      <c r="AC19" s="134"/>
      <c r="AD19" s="143">
        <f t="shared" si="0"/>
        <v>0</v>
      </c>
    </row>
    <row r="20" spans="1:30">
      <c r="A20" s="133" t="s">
        <v>19</v>
      </c>
      <c r="B20" s="135">
        <v>2262334.54</v>
      </c>
      <c r="C20" s="135">
        <v>2262334.54</v>
      </c>
      <c r="D20" s="135">
        <v>2262334.54</v>
      </c>
      <c r="E20" s="135"/>
      <c r="F20" s="145">
        <v>2282843.85</v>
      </c>
      <c r="I20" s="133" t="s">
        <v>19</v>
      </c>
      <c r="J20" s="135">
        <v>530746.5425000001</v>
      </c>
      <c r="K20" s="135">
        <v>530746.5425000001</v>
      </c>
      <c r="L20" s="135">
        <v>530746.5425000001</v>
      </c>
      <c r="M20" s="134"/>
      <c r="N20" s="135">
        <v>531533.92000000004</v>
      </c>
      <c r="Q20" s="133" t="s">
        <v>19</v>
      </c>
      <c r="R20" s="135">
        <v>596690.3075</v>
      </c>
      <c r="S20" s="135">
        <v>596690.3075</v>
      </c>
      <c r="T20" s="135">
        <v>596690.3075</v>
      </c>
      <c r="U20" s="134"/>
      <c r="V20" s="135">
        <v>603892.80000000005</v>
      </c>
      <c r="Y20" s="133" t="s">
        <v>19</v>
      </c>
      <c r="Z20" s="135">
        <f>SUM(Z14:Z19)</f>
        <v>2328278.3049999997</v>
      </c>
      <c r="AA20" s="135">
        <f>SUM(AA14:AA19)</f>
        <v>2328278.3049999997</v>
      </c>
      <c r="AB20" s="135">
        <f>SUM(AB14:AB19)</f>
        <v>2328278.3049999997</v>
      </c>
      <c r="AC20" s="134"/>
      <c r="AD20" s="135">
        <f>SUM(AD13:AD19)</f>
        <v>2355202.7299999995</v>
      </c>
    </row>
    <row r="21" spans="1:30">
      <c r="A21" s="133"/>
      <c r="B21" s="134"/>
      <c r="C21" s="134"/>
      <c r="D21" s="134"/>
      <c r="E21" s="134"/>
      <c r="F21" s="135"/>
      <c r="I21" s="133"/>
      <c r="J21" s="134"/>
      <c r="K21" s="134"/>
      <c r="L21" s="134"/>
      <c r="M21" s="134"/>
      <c r="N21" s="135"/>
      <c r="Q21" s="133"/>
      <c r="R21" s="134"/>
      <c r="S21" s="134"/>
      <c r="T21" s="134"/>
      <c r="U21" s="134"/>
      <c r="V21" s="135"/>
      <c r="Y21" s="133"/>
      <c r="Z21" s="134"/>
      <c r="AA21" s="134"/>
      <c r="AB21" s="134"/>
      <c r="AC21" s="134"/>
      <c r="AD21" s="135"/>
    </row>
    <row r="22" spans="1:30">
      <c r="A22" s="148" t="s">
        <v>20</v>
      </c>
      <c r="B22" s="134"/>
      <c r="C22" s="134"/>
      <c r="D22" s="134"/>
      <c r="E22" s="134"/>
      <c r="F22" s="135"/>
      <c r="I22" s="148" t="s">
        <v>20</v>
      </c>
      <c r="J22" s="134"/>
      <c r="K22" s="134"/>
      <c r="L22" s="134"/>
      <c r="M22" s="134"/>
      <c r="N22" s="135"/>
      <c r="Q22" s="148" t="s">
        <v>20</v>
      </c>
      <c r="R22" s="134"/>
      <c r="S22" s="134"/>
      <c r="T22" s="134"/>
      <c r="U22" s="134"/>
      <c r="V22" s="135"/>
      <c r="Y22" s="148" t="s">
        <v>20</v>
      </c>
      <c r="Z22" s="134"/>
      <c r="AA22" s="134"/>
      <c r="AB22" s="134"/>
      <c r="AC22" s="134"/>
      <c r="AD22" s="135"/>
    </row>
    <row r="23" spans="1:30">
      <c r="A23" s="133" t="s">
        <v>21</v>
      </c>
      <c r="B23" s="135">
        <v>-1543800</v>
      </c>
      <c r="C23" s="135">
        <v>-1543800</v>
      </c>
      <c r="D23" s="135">
        <v>-1543800</v>
      </c>
      <c r="E23" s="134"/>
      <c r="F23" s="145">
        <v>-1543800</v>
      </c>
      <c r="I23" s="133" t="s">
        <v>21</v>
      </c>
      <c r="J23" s="135">
        <v>-385950</v>
      </c>
      <c r="K23" s="135">
        <v>-385950</v>
      </c>
      <c r="L23" s="135">
        <v>-385950</v>
      </c>
      <c r="M23" s="134"/>
      <c r="N23" s="135">
        <v>-385950</v>
      </c>
      <c r="Q23" s="133" t="s">
        <v>21</v>
      </c>
      <c r="R23" s="135">
        <v>-337132</v>
      </c>
      <c r="S23" s="135">
        <v>-337132</v>
      </c>
      <c r="T23" s="135">
        <v>-337132</v>
      </c>
      <c r="U23" s="134"/>
      <c r="V23" s="135">
        <v>-337132</v>
      </c>
      <c r="Y23" s="133" t="s">
        <v>21</v>
      </c>
      <c r="Z23" s="135">
        <f>+AD23</f>
        <v>-1494982</v>
      </c>
      <c r="AA23" s="135">
        <f>+AD23</f>
        <v>-1494982</v>
      </c>
      <c r="AB23" s="135">
        <f>+AD23</f>
        <v>-1494982</v>
      </c>
      <c r="AC23" s="134"/>
      <c r="AD23" s="135">
        <f>+F23-N23+V23</f>
        <v>-1494982</v>
      </c>
    </row>
    <row r="24" spans="1:30">
      <c r="A24" s="133" t="s">
        <v>22</v>
      </c>
      <c r="B24" s="135">
        <v>0.34999999962747097</v>
      </c>
      <c r="C24" s="135">
        <v>0.34999999962747097</v>
      </c>
      <c r="D24" s="135">
        <v>0.34999999962747097</v>
      </c>
      <c r="E24" s="135"/>
      <c r="F24" s="135">
        <v>0.34999999962747097</v>
      </c>
      <c r="I24" s="133" t="s">
        <v>22</v>
      </c>
      <c r="J24" s="135">
        <v>0</v>
      </c>
      <c r="K24" s="135">
        <v>0</v>
      </c>
      <c r="L24" s="135">
        <v>0</v>
      </c>
      <c r="M24" s="135"/>
      <c r="N24" s="135">
        <v>0</v>
      </c>
      <c r="Q24" s="133" t="s">
        <v>22</v>
      </c>
      <c r="R24" s="135">
        <v>0</v>
      </c>
      <c r="S24" s="135">
        <v>0</v>
      </c>
      <c r="T24" s="135">
        <v>0</v>
      </c>
      <c r="U24" s="135"/>
      <c r="V24" s="135">
        <v>0</v>
      </c>
      <c r="Y24" s="133" t="s">
        <v>22</v>
      </c>
      <c r="Z24" s="135">
        <f>+AD24</f>
        <v>0.34999999962747097</v>
      </c>
      <c r="AA24" s="135">
        <f>+AD24</f>
        <v>0.34999999962747097</v>
      </c>
      <c r="AB24" s="135">
        <f>+AD24</f>
        <v>0.34999999962747097</v>
      </c>
      <c r="AC24" s="135"/>
      <c r="AD24" s="135">
        <f>+F24-N24+V24</f>
        <v>0.34999999962747097</v>
      </c>
    </row>
    <row r="25" spans="1:30">
      <c r="A25" s="133" t="s">
        <v>23</v>
      </c>
      <c r="B25" s="135">
        <v>-1003678</v>
      </c>
      <c r="C25" s="135">
        <v>-1003678</v>
      </c>
      <c r="D25" s="135">
        <v>-1003678</v>
      </c>
      <c r="E25" s="134"/>
      <c r="F25" s="145">
        <v>-1003678</v>
      </c>
      <c r="I25" s="133" t="s">
        <v>23</v>
      </c>
      <c r="J25" s="135">
        <v>-250919.53</v>
      </c>
      <c r="K25" s="135">
        <v>-250919.53</v>
      </c>
      <c r="L25" s="135">
        <v>-250919.53</v>
      </c>
      <c r="M25" s="134"/>
      <c r="N25" s="135">
        <v>-250919.53</v>
      </c>
      <c r="Q25" s="133" t="s">
        <v>23</v>
      </c>
      <c r="R25" s="135">
        <v>-112856.01000000001</v>
      </c>
      <c r="S25" s="135">
        <v>-112856.01000000001</v>
      </c>
      <c r="T25" s="135">
        <v>-112856.01000000001</v>
      </c>
      <c r="U25" s="134"/>
      <c r="V25" s="135">
        <v>-112856.01000000001</v>
      </c>
      <c r="Y25" s="133" t="s">
        <v>23</v>
      </c>
      <c r="Z25" s="135">
        <f>+AD25</f>
        <v>-865614.48</v>
      </c>
      <c r="AA25" s="135">
        <f>+AD25</f>
        <v>-865614.48</v>
      </c>
      <c r="AB25" s="135">
        <f>+AD25</f>
        <v>-865614.48</v>
      </c>
      <c r="AC25" s="134"/>
      <c r="AD25" s="135">
        <f>+F25-N25+V25</f>
        <v>-865614.48</v>
      </c>
    </row>
    <row r="26" spans="1:30">
      <c r="A26" s="133" t="s">
        <v>27</v>
      </c>
      <c r="B26" s="135">
        <v>0</v>
      </c>
      <c r="C26" s="147">
        <v>0</v>
      </c>
      <c r="D26" s="135">
        <v>0</v>
      </c>
      <c r="E26" s="134"/>
      <c r="F26" s="135">
        <v>0</v>
      </c>
      <c r="I26" s="133" t="s">
        <v>27</v>
      </c>
      <c r="J26" s="135">
        <v>0</v>
      </c>
      <c r="K26" s="147">
        <v>0</v>
      </c>
      <c r="L26" s="135">
        <v>0</v>
      </c>
      <c r="M26" s="134"/>
      <c r="N26" s="135">
        <v>0</v>
      </c>
      <c r="Q26" s="133" t="s">
        <v>27</v>
      </c>
      <c r="R26" s="135">
        <v>0</v>
      </c>
      <c r="S26" s="147">
        <v>0</v>
      </c>
      <c r="T26" s="135">
        <v>0</v>
      </c>
      <c r="U26" s="134"/>
      <c r="V26" s="135">
        <v>0</v>
      </c>
      <c r="Y26" s="133" t="s">
        <v>27</v>
      </c>
      <c r="Z26" s="135">
        <v>0</v>
      </c>
      <c r="AA26" s="147">
        <v>0</v>
      </c>
      <c r="AB26" s="135">
        <v>0</v>
      </c>
      <c r="AC26" s="134"/>
      <c r="AD26" s="135">
        <f>+F26-N26+V26</f>
        <v>0</v>
      </c>
    </row>
    <row r="27" spans="1:30">
      <c r="A27" s="133" t="s">
        <v>24</v>
      </c>
      <c r="B27" s="143">
        <v>0</v>
      </c>
      <c r="C27" s="143">
        <v>0</v>
      </c>
      <c r="D27" s="143">
        <v>0</v>
      </c>
      <c r="E27" s="134"/>
      <c r="F27" s="143">
        <v>0</v>
      </c>
      <c r="I27" s="133" t="s">
        <v>24</v>
      </c>
      <c r="J27" s="143">
        <v>-725000</v>
      </c>
      <c r="K27" s="143">
        <v>0</v>
      </c>
      <c r="L27" s="143">
        <v>0</v>
      </c>
      <c r="M27" s="134"/>
      <c r="N27" s="143">
        <v>-725000</v>
      </c>
      <c r="Q27" s="133" t="s">
        <v>24</v>
      </c>
      <c r="R27" s="143">
        <v>0</v>
      </c>
      <c r="S27" s="143">
        <v>0</v>
      </c>
      <c r="T27" s="143">
        <v>0</v>
      </c>
      <c r="U27" s="134"/>
      <c r="V27" s="143">
        <v>0</v>
      </c>
      <c r="Y27" s="133" t="s">
        <v>24</v>
      </c>
      <c r="Z27" s="143">
        <f>+AD27</f>
        <v>725000</v>
      </c>
      <c r="AA27" s="143">
        <v>0</v>
      </c>
      <c r="AB27" s="143">
        <v>0</v>
      </c>
      <c r="AC27" s="134"/>
      <c r="AD27" s="143">
        <f>+F27-N27+V27</f>
        <v>725000</v>
      </c>
    </row>
    <row r="28" spans="1:30">
      <c r="A28" s="133" t="s">
        <v>19</v>
      </c>
      <c r="B28" s="135">
        <v>-2547477.6500000004</v>
      </c>
      <c r="C28" s="135">
        <v>-2547477.6500000004</v>
      </c>
      <c r="D28" s="135">
        <v>-2547477.6500000004</v>
      </c>
      <c r="E28" s="134"/>
      <c r="F28" s="145">
        <v>-2547477.6500000004</v>
      </c>
      <c r="I28" s="133" t="s">
        <v>19</v>
      </c>
      <c r="J28" s="135">
        <v>-1361869.53</v>
      </c>
      <c r="K28" s="135">
        <v>-636869.53</v>
      </c>
      <c r="L28" s="135">
        <v>-636869.53</v>
      </c>
      <c r="M28" s="134"/>
      <c r="N28" s="135">
        <v>-1361869.53</v>
      </c>
      <c r="Q28" s="133" t="s">
        <v>19</v>
      </c>
      <c r="R28" s="135">
        <v>-449988.01</v>
      </c>
      <c r="S28" s="135">
        <v>-449988.01</v>
      </c>
      <c r="T28" s="135">
        <v>-449988.01</v>
      </c>
      <c r="U28" s="134"/>
      <c r="V28" s="135">
        <v>-449988.01</v>
      </c>
      <c r="Y28" s="133" t="s">
        <v>19</v>
      </c>
      <c r="Z28" s="135">
        <f>SUM(Z23:Z27)</f>
        <v>-1635596.1300000004</v>
      </c>
      <c r="AA28" s="135">
        <f>SUM(AA23:AA27)</f>
        <v>-2360596.1300000004</v>
      </c>
      <c r="AB28" s="135">
        <f>SUM(AB23:AB27)</f>
        <v>-2360596.1300000004</v>
      </c>
      <c r="AC28" s="134"/>
      <c r="AD28" s="135">
        <f>SUM(AD23:AD27)</f>
        <v>-1635596.1300000004</v>
      </c>
    </row>
    <row r="29" spans="1:30">
      <c r="A29" s="133"/>
      <c r="B29" s="135"/>
      <c r="C29" s="135"/>
      <c r="D29" s="135"/>
      <c r="E29" s="134"/>
      <c r="F29" s="135"/>
      <c r="I29" s="133"/>
      <c r="J29" s="135"/>
      <c r="K29" s="135"/>
      <c r="L29" s="135"/>
      <c r="M29" s="134"/>
      <c r="N29" s="135"/>
      <c r="Q29" s="133"/>
      <c r="R29" s="135"/>
      <c r="S29" s="135"/>
      <c r="T29" s="135"/>
      <c r="U29" s="134"/>
      <c r="V29" s="135"/>
      <c r="Y29" s="133"/>
      <c r="Z29" s="135"/>
      <c r="AA29" s="135"/>
      <c r="AB29" s="135"/>
      <c r="AC29" s="134"/>
      <c r="AD29" s="135"/>
    </row>
    <row r="30" spans="1:30">
      <c r="A30" s="148" t="s">
        <v>36</v>
      </c>
      <c r="B30" s="147"/>
      <c r="C30" s="134"/>
      <c r="D30" s="134"/>
      <c r="E30" s="134"/>
      <c r="F30" s="135"/>
      <c r="I30" s="148" t="s">
        <v>36</v>
      </c>
      <c r="J30" s="147"/>
      <c r="K30" s="134"/>
      <c r="L30" s="134"/>
      <c r="M30" s="134"/>
      <c r="N30" s="135"/>
      <c r="Q30" s="148" t="s">
        <v>36</v>
      </c>
      <c r="R30" s="147"/>
      <c r="S30" s="134"/>
      <c r="T30" s="134"/>
      <c r="U30" s="134"/>
      <c r="V30" s="135"/>
      <c r="Y30" s="148" t="s">
        <v>36</v>
      </c>
      <c r="Z30" s="147"/>
      <c r="AA30" s="134"/>
      <c r="AB30" s="134"/>
      <c r="AC30" s="134"/>
      <c r="AD30" s="135"/>
    </row>
    <row r="31" spans="1:30">
      <c r="A31" s="133" t="s">
        <v>48</v>
      </c>
      <c r="B31" s="147">
        <v>-114149338.15000001</v>
      </c>
      <c r="C31" s="135">
        <v>-114149338.15000001</v>
      </c>
      <c r="D31" s="135">
        <v>-114149338.15000001</v>
      </c>
      <c r="E31" s="151"/>
      <c r="F31" s="145">
        <v>-217673730.96000001</v>
      </c>
      <c r="I31" s="133" t="s">
        <v>48</v>
      </c>
      <c r="J31" s="147">
        <v>-20204425.620000001</v>
      </c>
      <c r="K31" s="135">
        <v>-20204425.620000001</v>
      </c>
      <c r="L31" s="135">
        <v>-20204425.620000001</v>
      </c>
      <c r="M31" s="151"/>
      <c r="N31" s="135">
        <v>-16942241.16</v>
      </c>
      <c r="Q31" s="133" t="s">
        <v>48</v>
      </c>
      <c r="R31" s="147">
        <v>-30531639.059999999</v>
      </c>
      <c r="S31" s="135">
        <v>-30531639.059999999</v>
      </c>
      <c r="T31" s="135">
        <v>-30531639.059999999</v>
      </c>
      <c r="U31" s="151"/>
      <c r="V31" s="135">
        <v>-61608065.82</v>
      </c>
      <c r="Y31" s="133" t="s">
        <v>48</v>
      </c>
      <c r="Z31" s="147">
        <f>+B31-J31+R31</f>
        <v>-124476551.59</v>
      </c>
      <c r="AA31" s="135">
        <f>+Z31</f>
        <v>-124476551.59</v>
      </c>
      <c r="AB31" s="135">
        <f>+Z31</f>
        <v>-124476551.59</v>
      </c>
      <c r="AC31" s="151"/>
      <c r="AD31" s="135">
        <f>+F31-N31+V31</f>
        <v>-262339555.62</v>
      </c>
    </row>
    <row r="32" spans="1:30">
      <c r="A32" s="140" t="s">
        <v>2</v>
      </c>
      <c r="B32" s="135"/>
      <c r="C32" s="135"/>
      <c r="D32" s="135"/>
      <c r="E32" s="152"/>
      <c r="F32" s="135">
        <v>0</v>
      </c>
      <c r="I32" s="140" t="s">
        <v>2</v>
      </c>
      <c r="J32" s="135"/>
      <c r="K32" s="135"/>
      <c r="L32" s="135"/>
      <c r="M32" s="152"/>
      <c r="N32" s="135">
        <v>0</v>
      </c>
      <c r="Q32" s="140" t="s">
        <v>2</v>
      </c>
      <c r="R32" s="135"/>
      <c r="S32" s="135"/>
      <c r="T32" s="135"/>
      <c r="U32" s="152"/>
      <c r="V32" s="135">
        <v>0</v>
      </c>
      <c r="Y32" s="140" t="s">
        <v>2</v>
      </c>
      <c r="Z32" s="135"/>
      <c r="AA32" s="135"/>
      <c r="AB32" s="135"/>
      <c r="AC32" s="152"/>
      <c r="AD32" s="135">
        <f>+F32-N32+V32</f>
        <v>0</v>
      </c>
    </row>
    <row r="33" spans="1:31">
      <c r="A33" s="133" t="s">
        <v>37</v>
      </c>
      <c r="B33" s="143">
        <v>10439470.290000001</v>
      </c>
      <c r="C33" s="143">
        <v>10439470.290000001</v>
      </c>
      <c r="D33" s="143">
        <v>10439470.290000001</v>
      </c>
      <c r="E33" s="134"/>
      <c r="F33" s="153">
        <v>10439470.290000001</v>
      </c>
      <c r="I33" s="133" t="s">
        <v>37</v>
      </c>
      <c r="J33" s="143">
        <v>9290741.1199999992</v>
      </c>
      <c r="K33" s="143">
        <v>9290741.1199999992</v>
      </c>
      <c r="L33" s="143">
        <v>9290741.1199999992</v>
      </c>
      <c r="M33" s="134"/>
      <c r="N33" s="143">
        <v>9290741.1199999992</v>
      </c>
      <c r="Q33" s="133" t="s">
        <v>37</v>
      </c>
      <c r="R33" s="143">
        <v>2921301.93</v>
      </c>
      <c r="S33" s="143">
        <v>2921301.93</v>
      </c>
      <c r="T33" s="143">
        <v>2921301.93</v>
      </c>
      <c r="U33" s="134"/>
      <c r="V33" s="143">
        <v>2921301.93</v>
      </c>
      <c r="Y33" s="133" t="s">
        <v>37</v>
      </c>
      <c r="Z33" s="143">
        <f>+AD33</f>
        <v>4070031.100000002</v>
      </c>
      <c r="AA33" s="143">
        <f>+Z33</f>
        <v>4070031.100000002</v>
      </c>
      <c r="AB33" s="143">
        <f>+Z33</f>
        <v>4070031.100000002</v>
      </c>
      <c r="AC33" s="134"/>
      <c r="AD33" s="143">
        <f>+F33-N33+V33</f>
        <v>4070031.100000002</v>
      </c>
    </row>
    <row r="34" spans="1:31">
      <c r="A34" s="133" t="s">
        <v>38</v>
      </c>
      <c r="B34" s="135">
        <v>-103709867.86</v>
      </c>
      <c r="C34" s="135">
        <v>-103709867.86</v>
      </c>
      <c r="D34" s="135">
        <v>-103709867.86</v>
      </c>
      <c r="E34" s="134"/>
      <c r="F34" s="135">
        <v>-207234260.67000002</v>
      </c>
      <c r="I34" s="133" t="s">
        <v>38</v>
      </c>
      <c r="J34" s="135">
        <v>-10913684.500000002</v>
      </c>
      <c r="K34" s="135">
        <v>-10913684.500000002</v>
      </c>
      <c r="L34" s="135">
        <v>-10913684.500000002</v>
      </c>
      <c r="M34" s="134"/>
      <c r="N34" s="135">
        <v>-7651500.040000001</v>
      </c>
      <c r="Q34" s="133" t="s">
        <v>38</v>
      </c>
      <c r="R34" s="135">
        <v>-27610337.129999999</v>
      </c>
      <c r="S34" s="135">
        <v>-27610337.129999999</v>
      </c>
      <c r="T34" s="135">
        <v>-27610337.129999999</v>
      </c>
      <c r="U34" s="134"/>
      <c r="V34" s="135">
        <v>-58686763.890000001</v>
      </c>
      <c r="Y34" s="133" t="s">
        <v>38</v>
      </c>
      <c r="Z34" s="135">
        <f>SUM(Z31:Z33)</f>
        <v>-120406520.48999999</v>
      </c>
      <c r="AA34" s="135">
        <f>SUM(AA31:AA33)</f>
        <v>-120406520.48999999</v>
      </c>
      <c r="AB34" s="135">
        <f>SUM(AB31:AB33)</f>
        <v>-120406520.48999999</v>
      </c>
      <c r="AC34" s="134"/>
      <c r="AD34" s="135">
        <f>SUM(AD31:AD33)</f>
        <v>-258269524.52000001</v>
      </c>
    </row>
    <row r="35" spans="1:31">
      <c r="A35" s="135"/>
      <c r="B35" s="143"/>
      <c r="C35" s="154"/>
      <c r="D35" s="154"/>
      <c r="E35" s="134"/>
      <c r="F35" s="143"/>
      <c r="I35" s="135"/>
      <c r="J35" s="143"/>
      <c r="K35" s="154"/>
      <c r="L35" s="154"/>
      <c r="M35" s="134"/>
      <c r="N35" s="143"/>
      <c r="Q35" s="135"/>
      <c r="R35" s="143"/>
      <c r="S35" s="154"/>
      <c r="T35" s="154"/>
      <c r="U35" s="134"/>
      <c r="V35" s="143"/>
      <c r="Y35" s="135"/>
      <c r="Z35" s="143"/>
      <c r="AA35" s="154"/>
      <c r="AB35" s="154"/>
      <c r="AC35" s="134"/>
      <c r="AD35" s="143"/>
    </row>
    <row r="36" spans="1:31">
      <c r="A36" s="155" t="s">
        <v>47</v>
      </c>
      <c r="B36" s="135">
        <v>90914368.640000015</v>
      </c>
      <c r="C36" s="135">
        <v>90914368.640000015</v>
      </c>
      <c r="D36" s="135">
        <v>90914368.640000015</v>
      </c>
      <c r="E36" s="134"/>
      <c r="F36" s="145">
        <v>-12589514.860000014</v>
      </c>
      <c r="I36" s="155" t="s">
        <v>47</v>
      </c>
      <c r="J36" s="135">
        <v>29305986.50249999</v>
      </c>
      <c r="K36" s="135">
        <v>30030986.50249999</v>
      </c>
      <c r="L36" s="135">
        <v>30030986.50249999</v>
      </c>
      <c r="M36" s="134"/>
      <c r="N36" s="135">
        <v>32568958.339999996</v>
      </c>
      <c r="Q36" s="155" t="s">
        <v>47</v>
      </c>
      <c r="R36" s="135">
        <v>-9049133.7925000004</v>
      </c>
      <c r="S36" s="135">
        <v>-9049133.7925000004</v>
      </c>
      <c r="T36" s="135">
        <v>-9049133.7925000004</v>
      </c>
      <c r="U36" s="134"/>
      <c r="V36" s="135">
        <v>-40118358.060000002</v>
      </c>
      <c r="Y36" s="155" t="s">
        <v>47</v>
      </c>
      <c r="Z36" s="135">
        <f>+Z28+Z20+Z34+Z10</f>
        <v>52559248.345000029</v>
      </c>
      <c r="AA36" s="135">
        <f>+AA28+AA20+AA34+AA10</f>
        <v>51834248.345000029</v>
      </c>
      <c r="AB36" s="135">
        <f>+AB28+AB20+AB34+AB10</f>
        <v>51834248.345000029</v>
      </c>
      <c r="AC36" s="134"/>
      <c r="AD36" s="135">
        <f>+AD28+AD20+AD34+AD10</f>
        <v>-85276831.25999999</v>
      </c>
      <c r="AE36" s="150">
        <f>+F36-N36+V36</f>
        <v>-85276831.26000002</v>
      </c>
    </row>
    <row r="37" spans="1:31">
      <c r="A37" s="156"/>
      <c r="B37" s="135"/>
      <c r="C37" s="135"/>
      <c r="D37" s="135"/>
      <c r="E37" s="134"/>
      <c r="F37" s="135"/>
      <c r="I37" s="156"/>
      <c r="J37" s="135"/>
      <c r="K37" s="135"/>
      <c r="L37" s="135"/>
      <c r="M37" s="134"/>
      <c r="N37" s="135"/>
      <c r="Q37" s="156"/>
      <c r="R37" s="135"/>
      <c r="S37" s="135"/>
      <c r="T37" s="135"/>
      <c r="U37" s="134"/>
      <c r="V37" s="135"/>
      <c r="Y37" s="156"/>
      <c r="Z37" s="135"/>
      <c r="AA37" s="135"/>
      <c r="AB37" s="135"/>
      <c r="AC37" s="134"/>
      <c r="AD37" s="135"/>
    </row>
    <row r="38" spans="1:31">
      <c r="A38" s="148" t="s">
        <v>25</v>
      </c>
      <c r="B38" s="135"/>
      <c r="C38" s="135"/>
      <c r="D38" s="135"/>
      <c r="E38" s="134"/>
      <c r="F38" s="135"/>
      <c r="I38" s="148" t="s">
        <v>25</v>
      </c>
      <c r="J38" s="135"/>
      <c r="K38" s="135"/>
      <c r="L38" s="135"/>
      <c r="M38" s="134"/>
      <c r="N38" s="135"/>
      <c r="Q38" s="148" t="s">
        <v>25</v>
      </c>
      <c r="R38" s="135"/>
      <c r="S38" s="135"/>
      <c r="T38" s="135"/>
      <c r="U38" s="134"/>
      <c r="V38" s="135"/>
      <c r="Y38" s="148" t="s">
        <v>25</v>
      </c>
      <c r="Z38" s="135"/>
      <c r="AA38" s="135"/>
      <c r="AB38" s="135"/>
      <c r="AC38" s="134"/>
      <c r="AD38" s="135"/>
    </row>
    <row r="39" spans="1:31">
      <c r="A39" s="133" t="s">
        <v>26</v>
      </c>
      <c r="B39" s="135">
        <v>0</v>
      </c>
      <c r="C39" s="135">
        <v>0</v>
      </c>
      <c r="D39" s="135">
        <v>0</v>
      </c>
      <c r="E39" s="135"/>
      <c r="F39" s="145">
        <f>-3357454.23-0.03</f>
        <v>-3357454.26</v>
      </c>
      <c r="I39" s="133" t="s">
        <v>26</v>
      </c>
      <c r="J39" s="135">
        <v>0</v>
      </c>
      <c r="K39" s="135">
        <v>0</v>
      </c>
      <c r="L39" s="135">
        <v>0</v>
      </c>
      <c r="M39" s="135"/>
      <c r="N39" s="145">
        <v>-1223901.2999999998</v>
      </c>
      <c r="Q39" s="133" t="s">
        <v>26</v>
      </c>
      <c r="R39" s="135">
        <v>0</v>
      </c>
      <c r="S39" s="135">
        <v>0</v>
      </c>
      <c r="T39" s="135">
        <v>0</v>
      </c>
      <c r="U39" s="135"/>
      <c r="V39" s="135">
        <v>783364.90999999992</v>
      </c>
      <c r="Y39" s="133" t="s">
        <v>26</v>
      </c>
      <c r="Z39" s="135">
        <v>0</v>
      </c>
      <c r="AA39" s="135">
        <v>0</v>
      </c>
      <c r="AB39" s="135">
        <v>0</v>
      </c>
      <c r="AC39" s="135"/>
      <c r="AD39" s="135">
        <f>-AC49-SUM(AC52:AC54)</f>
        <v>-1350188.0499999998</v>
      </c>
      <c r="AE39" s="150">
        <f>+F39-N39+V39</f>
        <v>-1350188.05</v>
      </c>
    </row>
    <row r="40" spans="1:31">
      <c r="A40" s="133" t="s">
        <v>28</v>
      </c>
      <c r="B40" s="135">
        <v>0</v>
      </c>
      <c r="C40" s="135">
        <v>0</v>
      </c>
      <c r="D40" s="135">
        <v>0</v>
      </c>
      <c r="E40" s="134"/>
      <c r="F40" s="135">
        <v>0</v>
      </c>
      <c r="I40" s="133" t="s">
        <v>28</v>
      </c>
      <c r="J40" s="135">
        <v>0</v>
      </c>
      <c r="K40" s="135">
        <v>0</v>
      </c>
      <c r="L40" s="135">
        <v>0</v>
      </c>
      <c r="M40" s="134"/>
      <c r="N40" s="135">
        <v>0</v>
      </c>
      <c r="Q40" s="133" t="s">
        <v>28</v>
      </c>
      <c r="R40" s="135">
        <v>0</v>
      </c>
      <c r="S40" s="135">
        <v>0</v>
      </c>
      <c r="T40" s="135">
        <v>0</v>
      </c>
      <c r="U40" s="134"/>
      <c r="V40" s="135">
        <v>0</v>
      </c>
      <c r="Y40" s="133" t="s">
        <v>28</v>
      </c>
      <c r="Z40" s="135">
        <v>0</v>
      </c>
      <c r="AA40" s="135">
        <f>+Z40</f>
        <v>0</v>
      </c>
      <c r="AB40" s="135">
        <f>+Z40</f>
        <v>0</v>
      </c>
      <c r="AC40" s="134"/>
      <c r="AD40" s="135">
        <f>+F40-N40+V40</f>
        <v>0</v>
      </c>
    </row>
    <row r="41" spans="1:31">
      <c r="A41" s="142" t="s">
        <v>37</v>
      </c>
      <c r="B41" s="147">
        <v>0</v>
      </c>
      <c r="C41" s="135">
        <v>0</v>
      </c>
      <c r="D41" s="135">
        <v>0</v>
      </c>
      <c r="E41" s="134"/>
      <c r="F41" s="135">
        <v>0</v>
      </c>
      <c r="I41" s="142" t="s">
        <v>37</v>
      </c>
      <c r="J41" s="147">
        <v>0</v>
      </c>
      <c r="K41" s="135">
        <v>0</v>
      </c>
      <c r="L41" s="135">
        <v>0</v>
      </c>
      <c r="M41" s="134"/>
      <c r="N41" s="135">
        <v>0</v>
      </c>
      <c r="Q41" s="142" t="s">
        <v>37</v>
      </c>
      <c r="R41" s="147">
        <v>0</v>
      </c>
      <c r="S41" s="135">
        <v>0</v>
      </c>
      <c r="T41" s="135">
        <v>0</v>
      </c>
      <c r="U41" s="134"/>
      <c r="V41" s="135">
        <v>0</v>
      </c>
      <c r="Y41" s="142" t="s">
        <v>37</v>
      </c>
      <c r="Z41" s="147">
        <v>0</v>
      </c>
      <c r="AA41" s="135">
        <v>0</v>
      </c>
      <c r="AB41" s="135">
        <v>0</v>
      </c>
      <c r="AC41" s="134"/>
      <c r="AD41" s="135">
        <f>+F41-N41+V41</f>
        <v>0</v>
      </c>
    </row>
    <row r="42" spans="1:31">
      <c r="A42" s="133" t="s">
        <v>40</v>
      </c>
      <c r="B42" s="157">
        <v>0</v>
      </c>
      <c r="C42" s="157">
        <v>0</v>
      </c>
      <c r="D42" s="157">
        <v>0</v>
      </c>
      <c r="E42" s="134"/>
      <c r="F42" s="158">
        <f>-3357454.23-0.03</f>
        <v>-3357454.26</v>
      </c>
      <c r="I42" s="133" t="s">
        <v>40</v>
      </c>
      <c r="J42" s="157">
        <v>0</v>
      </c>
      <c r="K42" s="157">
        <v>0</v>
      </c>
      <c r="L42" s="157">
        <v>0</v>
      </c>
      <c r="M42" s="134"/>
      <c r="N42" s="157">
        <v>-1223901.2999999998</v>
      </c>
      <c r="Q42" s="133" t="s">
        <v>40</v>
      </c>
      <c r="R42" s="157">
        <v>0</v>
      </c>
      <c r="S42" s="157">
        <v>0</v>
      </c>
      <c r="T42" s="157">
        <v>0</v>
      </c>
      <c r="U42" s="134"/>
      <c r="V42" s="157">
        <v>783364.90999999992</v>
      </c>
      <c r="Y42" s="133" t="s">
        <v>40</v>
      </c>
      <c r="Z42" s="157">
        <f>SUM(Z39:Z41)</f>
        <v>0</v>
      </c>
      <c r="AA42" s="157">
        <f>SUM(AA39:AA41)</f>
        <v>0</v>
      </c>
      <c r="AB42" s="157">
        <f>SUM(AB39:AB41)</f>
        <v>0</v>
      </c>
      <c r="AC42" s="134"/>
      <c r="AD42" s="157">
        <f>SUM(AD39:AD41)</f>
        <v>-1350188.0499999998</v>
      </c>
      <c r="AE42" s="150">
        <f>+F42-N42+V42</f>
        <v>-1350188.05</v>
      </c>
    </row>
    <row r="43" spans="1:31">
      <c r="A43" s="140" t="s">
        <v>69</v>
      </c>
      <c r="B43" s="135">
        <v>90914368.640000015</v>
      </c>
      <c r="C43" s="135">
        <v>90914368.640000015</v>
      </c>
      <c r="D43" s="135">
        <v>90914368.640000015</v>
      </c>
      <c r="E43" s="134"/>
      <c r="F43" s="145">
        <f>-15946969.09-0.03</f>
        <v>-15946969.119999999</v>
      </c>
      <c r="I43" s="140" t="s">
        <v>69</v>
      </c>
      <c r="J43" s="135">
        <v>29305986.50249999</v>
      </c>
      <c r="K43" s="135">
        <v>30030986.50249999</v>
      </c>
      <c r="L43" s="135">
        <v>30030986.50249999</v>
      </c>
      <c r="M43" s="134"/>
      <c r="N43" s="135">
        <v>31345057.039999999</v>
      </c>
      <c r="Q43" s="140" t="s">
        <v>69</v>
      </c>
      <c r="R43" s="135">
        <v>-9049133.7925000004</v>
      </c>
      <c r="S43" s="135">
        <v>-9049133.7925000004</v>
      </c>
      <c r="T43" s="135">
        <v>-9049133.7925000004</v>
      </c>
      <c r="U43" s="134"/>
      <c r="V43" s="135">
        <v>-39334993.150000006</v>
      </c>
      <c r="Y43" s="140" t="s">
        <v>69</v>
      </c>
      <c r="Z43" s="135">
        <f>SUM(Z36:Z41)</f>
        <v>52559248.345000029</v>
      </c>
      <c r="AA43" s="135">
        <f>SUM(AA36:AA41)</f>
        <v>51834248.345000029</v>
      </c>
      <c r="AB43" s="135">
        <f>SUM(AB36:AB41)</f>
        <v>51834248.345000029</v>
      </c>
      <c r="AC43" s="134"/>
      <c r="AD43" s="135">
        <f>SUM(AD39:AD41)+AD10+AD20+AD28+AD34</f>
        <v>-86627019.310000002</v>
      </c>
      <c r="AE43" s="150">
        <f>+F43-N43+V43</f>
        <v>-86627019.310000002</v>
      </c>
    </row>
    <row r="44" spans="1:31">
      <c r="A44" s="140" t="s">
        <v>127</v>
      </c>
      <c r="B44" s="159">
        <v>0.94703899999999996</v>
      </c>
      <c r="C44" s="159">
        <v>2.3852000000000002E-2</v>
      </c>
      <c r="D44" s="159">
        <v>1.4784E-2</v>
      </c>
      <c r="E44" s="134"/>
      <c r="F44" s="135"/>
      <c r="I44" s="140" t="s">
        <v>73</v>
      </c>
      <c r="J44" s="159">
        <v>0.91466599999999998</v>
      </c>
      <c r="K44" s="159">
        <v>2.9517999999999999E-2</v>
      </c>
      <c r="L44" s="159">
        <v>5.6550999999999997E-2</v>
      </c>
      <c r="M44" s="134"/>
      <c r="N44" s="135"/>
      <c r="Q44" s="140" t="s">
        <v>73</v>
      </c>
      <c r="R44" s="159">
        <v>0.94703899999999996</v>
      </c>
      <c r="S44" s="159">
        <v>2.3852000000000002E-2</v>
      </c>
      <c r="T44" s="159">
        <v>1.4784E-2</v>
      </c>
      <c r="U44" s="134"/>
      <c r="V44" s="135"/>
      <c r="Y44" s="140" t="s">
        <v>73</v>
      </c>
      <c r="Z44" s="159">
        <v>0.94703899999999996</v>
      </c>
      <c r="AA44" s="159">
        <v>2.3852000000000002E-2</v>
      </c>
      <c r="AB44" s="159">
        <v>1.4784E-2</v>
      </c>
      <c r="AC44" s="134"/>
      <c r="AD44" s="135"/>
    </row>
    <row r="45" spans="1:31">
      <c r="A45" s="140" t="s">
        <v>45</v>
      </c>
      <c r="B45" s="135">
        <v>86099452.760000005</v>
      </c>
      <c r="C45" s="135">
        <v>2168489.52</v>
      </c>
      <c r="D45" s="135">
        <v>1344078.03</v>
      </c>
      <c r="E45" s="135"/>
      <c r="F45" s="135"/>
      <c r="I45" s="140" t="s">
        <v>45</v>
      </c>
      <c r="J45" s="135">
        <v>26805189.449999999</v>
      </c>
      <c r="K45" s="135">
        <v>886454.66</v>
      </c>
      <c r="L45" s="135">
        <v>1698282.32</v>
      </c>
      <c r="M45" s="134"/>
      <c r="N45" s="135"/>
      <c r="Q45" s="140" t="s">
        <v>45</v>
      </c>
      <c r="R45" s="135">
        <v>-8569882.6199999992</v>
      </c>
      <c r="S45" s="135">
        <v>-215839.94</v>
      </c>
      <c r="T45" s="135">
        <v>-133782.39000000001</v>
      </c>
      <c r="U45" s="134"/>
      <c r="V45" s="135"/>
      <c r="Y45" s="140" t="s">
        <v>45</v>
      </c>
      <c r="Z45" s="135">
        <f>+B45-J45+R45</f>
        <v>50724380.690000005</v>
      </c>
      <c r="AA45" s="135">
        <f>+C45-K45+S45</f>
        <v>1066194.92</v>
      </c>
      <c r="AB45" s="135">
        <f>+D45-L45+T45</f>
        <v>-487986.68000000005</v>
      </c>
      <c r="AC45" s="134"/>
      <c r="AD45" s="135"/>
    </row>
    <row r="46" spans="1:31">
      <c r="A46" s="142" t="s">
        <v>68</v>
      </c>
      <c r="B46" s="143">
        <v>-5000</v>
      </c>
      <c r="C46" s="143">
        <v>0</v>
      </c>
      <c r="D46" s="143">
        <v>0</v>
      </c>
      <c r="E46" s="134"/>
      <c r="F46" s="135"/>
      <c r="I46" s="142" t="s">
        <v>68</v>
      </c>
      <c r="J46" s="143">
        <v>-5000</v>
      </c>
      <c r="K46" s="143">
        <v>0</v>
      </c>
      <c r="L46" s="143">
        <v>0</v>
      </c>
      <c r="M46" s="134"/>
      <c r="N46" s="135"/>
      <c r="Q46" s="142" t="s">
        <v>68</v>
      </c>
      <c r="R46" s="143">
        <v>-5000</v>
      </c>
      <c r="S46" s="143">
        <v>0</v>
      </c>
      <c r="T46" s="143">
        <v>0</v>
      </c>
      <c r="U46" s="134"/>
      <c r="V46" s="135"/>
      <c r="Y46" s="142" t="s">
        <v>68</v>
      </c>
      <c r="Z46" s="143">
        <f>+B46-J46+R46</f>
        <v>-5000</v>
      </c>
      <c r="AA46" s="143">
        <v>0</v>
      </c>
      <c r="AB46" s="143">
        <v>0</v>
      </c>
      <c r="AC46" s="134"/>
      <c r="AD46" s="135"/>
    </row>
    <row r="47" spans="1:31">
      <c r="A47" s="140" t="s">
        <v>70</v>
      </c>
      <c r="B47" s="135">
        <v>86094452.770000011</v>
      </c>
      <c r="C47" s="135">
        <v>2168489.52</v>
      </c>
      <c r="D47" s="135">
        <v>1344078.03</v>
      </c>
      <c r="E47" s="134"/>
      <c r="F47" s="135"/>
      <c r="I47" s="140" t="s">
        <v>70</v>
      </c>
      <c r="J47" s="135">
        <v>26800189.460000001</v>
      </c>
      <c r="K47" s="135">
        <v>886454.66</v>
      </c>
      <c r="L47" s="135">
        <v>1698282.32</v>
      </c>
      <c r="M47" s="134"/>
      <c r="N47" s="135"/>
      <c r="Q47" s="140" t="s">
        <v>70</v>
      </c>
      <c r="R47" s="135">
        <v>-8574882.6099999994</v>
      </c>
      <c r="S47" s="135">
        <v>-215839.94</v>
      </c>
      <c r="T47" s="135">
        <v>-133782.39000000001</v>
      </c>
      <c r="U47" s="134"/>
      <c r="V47" s="135"/>
      <c r="Y47" s="140" t="s">
        <v>70</v>
      </c>
      <c r="Z47" s="135">
        <f>+Z45+Z46+0.01</f>
        <v>50719380.700000003</v>
      </c>
      <c r="AA47" s="135">
        <f>+AA45+AA46</f>
        <v>1066194.92</v>
      </c>
      <c r="AB47" s="135">
        <f>+AB45+AB46</f>
        <v>-487986.68000000005</v>
      </c>
      <c r="AC47" s="134"/>
      <c r="AD47" s="135"/>
    </row>
    <row r="48" spans="1:31">
      <c r="A48" s="142" t="s">
        <v>77</v>
      </c>
      <c r="B48" s="160">
        <v>5.5E-2</v>
      </c>
      <c r="C48" s="160">
        <v>0.05</v>
      </c>
      <c r="D48" s="161">
        <v>5.6603768999999998E-2</v>
      </c>
      <c r="E48" s="159"/>
      <c r="F48" s="143">
        <v>0.35</v>
      </c>
      <c r="I48" s="142" t="s">
        <v>77</v>
      </c>
      <c r="J48" s="160">
        <v>5.5E-2</v>
      </c>
      <c r="K48" s="160">
        <v>0.05</v>
      </c>
      <c r="L48" s="161">
        <v>5.6603768999999998E-2</v>
      </c>
      <c r="M48" s="159"/>
      <c r="N48" s="143">
        <v>0.35</v>
      </c>
      <c r="Q48" s="142" t="s">
        <v>77</v>
      </c>
      <c r="R48" s="160">
        <v>5.5E-2</v>
      </c>
      <c r="S48" s="160">
        <v>0.05</v>
      </c>
      <c r="T48" s="161">
        <v>5.6603768999999998E-2</v>
      </c>
      <c r="U48" s="159"/>
      <c r="V48" s="143">
        <v>0.35</v>
      </c>
      <c r="Y48" s="142" t="s">
        <v>77</v>
      </c>
      <c r="Z48" s="160">
        <v>5.5E-2</v>
      </c>
      <c r="AA48" s="160">
        <v>0.05</v>
      </c>
      <c r="AB48" s="161">
        <v>5.6603768999999998E-2</v>
      </c>
      <c r="AC48" s="159"/>
      <c r="AD48" s="143">
        <v>0.35</v>
      </c>
    </row>
    <row r="49" spans="1:32">
      <c r="A49" s="133" t="s">
        <v>41</v>
      </c>
      <c r="B49" s="135">
        <v>4735194.8900000006</v>
      </c>
      <c r="C49" s="135">
        <v>108424.47</v>
      </c>
      <c r="D49" s="135">
        <v>76079.87000000001</v>
      </c>
      <c r="E49" s="162">
        <v>4919699.2300000004</v>
      </c>
      <c r="F49" s="145">
        <f>-5581439.17-0.02</f>
        <v>-5581439.1899999995</v>
      </c>
      <c r="I49" s="133" t="s">
        <v>41</v>
      </c>
      <c r="J49" s="135">
        <v>1474010.41</v>
      </c>
      <c r="K49" s="135">
        <v>44322.720000000001</v>
      </c>
      <c r="L49" s="135">
        <v>96129.17</v>
      </c>
      <c r="M49" s="145">
        <v>1614462.2999999998</v>
      </c>
      <c r="N49" s="145">
        <v>10970769.970000001</v>
      </c>
      <c r="Q49" s="133" t="s">
        <v>41</v>
      </c>
      <c r="R49" s="135">
        <v>-471618.55</v>
      </c>
      <c r="S49" s="135">
        <v>-10792.01</v>
      </c>
      <c r="T49" s="135">
        <v>-7572.6</v>
      </c>
      <c r="U49" s="145">
        <v>-489983.16</v>
      </c>
      <c r="V49" s="145">
        <v>-13767247.59</v>
      </c>
      <c r="Y49" s="133" t="s">
        <v>41</v>
      </c>
      <c r="Z49" s="135">
        <f>ROUND(+Z47*Z48,2)</f>
        <v>2789565.94</v>
      </c>
      <c r="AA49" s="135">
        <f>ROUND(+AA47*AA48,2)</f>
        <v>53309.75</v>
      </c>
      <c r="AB49" s="135">
        <f>ROUND(+AB47*AB48,2)</f>
        <v>-27621.89</v>
      </c>
      <c r="AC49" s="135">
        <f>SUM(Z49:AB49)</f>
        <v>2815253.8</v>
      </c>
      <c r="AD49" s="135">
        <f>ROUND(+AD43*AD48,2)+0.01</f>
        <v>-30319456.75</v>
      </c>
    </row>
    <row r="50" spans="1:32">
      <c r="A50" s="133"/>
      <c r="B50" s="135"/>
      <c r="C50" s="135"/>
      <c r="D50" s="135"/>
      <c r="E50" s="162"/>
      <c r="F50" s="135"/>
      <c r="I50" s="133"/>
      <c r="J50" s="135"/>
      <c r="K50" s="135"/>
      <c r="L50" s="135"/>
      <c r="M50" s="145"/>
      <c r="N50" s="135"/>
      <c r="Q50" s="133"/>
      <c r="R50" s="135"/>
      <c r="S50" s="135"/>
      <c r="T50" s="135"/>
      <c r="U50" s="145"/>
      <c r="V50" s="135"/>
      <c r="Y50" s="133"/>
      <c r="Z50" s="135"/>
      <c r="AA50" s="135"/>
      <c r="AB50" s="135"/>
      <c r="AC50" s="135"/>
      <c r="AD50" s="135"/>
    </row>
    <row r="51" spans="1:32">
      <c r="A51" s="144" t="s">
        <v>42</v>
      </c>
      <c r="B51" s="135"/>
      <c r="C51" s="135"/>
      <c r="D51" s="135"/>
      <c r="E51" s="162"/>
      <c r="F51" s="135"/>
      <c r="I51" s="144" t="s">
        <v>42</v>
      </c>
      <c r="J51" s="135"/>
      <c r="K51" s="135"/>
      <c r="L51" s="135"/>
      <c r="M51" s="145"/>
      <c r="N51" s="135"/>
      <c r="Q51" s="144" t="s">
        <v>42</v>
      </c>
      <c r="R51" s="135"/>
      <c r="S51" s="135"/>
      <c r="T51" s="135"/>
      <c r="U51" s="145"/>
      <c r="V51" s="135"/>
      <c r="Y51" s="144" t="s">
        <v>42</v>
      </c>
      <c r="Z51" s="135"/>
      <c r="AA51" s="135"/>
      <c r="AB51" s="135"/>
      <c r="AC51" s="135"/>
      <c r="AD51" s="135"/>
    </row>
    <row r="52" spans="1:32">
      <c r="A52" s="142" t="s">
        <v>71</v>
      </c>
      <c r="B52" s="135">
        <v>0</v>
      </c>
      <c r="C52" s="135">
        <v>0</v>
      </c>
      <c r="D52" s="135">
        <v>0</v>
      </c>
      <c r="E52" s="162">
        <v>0</v>
      </c>
      <c r="F52" s="147"/>
      <c r="I52" s="142" t="s">
        <v>71</v>
      </c>
      <c r="J52" s="135">
        <v>0</v>
      </c>
      <c r="K52" s="135">
        <v>0</v>
      </c>
      <c r="L52" s="135">
        <v>0</v>
      </c>
      <c r="M52" s="145">
        <v>0</v>
      </c>
      <c r="N52" s="147"/>
      <c r="Q52" s="142" t="s">
        <v>71</v>
      </c>
      <c r="R52" s="135">
        <v>0</v>
      </c>
      <c r="S52" s="135">
        <v>0</v>
      </c>
      <c r="T52" s="135">
        <v>0</v>
      </c>
      <c r="U52" s="145">
        <v>0</v>
      </c>
      <c r="V52" s="147"/>
      <c r="Y52" s="142" t="s">
        <v>71</v>
      </c>
      <c r="Z52" s="135">
        <f t="shared" ref="Z52:AB57" si="1">+B52-J52+R52</f>
        <v>0</v>
      </c>
      <c r="AA52" s="135">
        <f t="shared" si="1"/>
        <v>0</v>
      </c>
      <c r="AB52" s="135">
        <f t="shared" si="1"/>
        <v>0</v>
      </c>
      <c r="AC52" s="135">
        <f t="shared" ref="AC52:AC57" si="2">SUM(Z52:AB52)</f>
        <v>0</v>
      </c>
      <c r="AD52" s="147">
        <f t="shared" ref="AD52:AD57" si="3">+F52-N52+V52</f>
        <v>0</v>
      </c>
    </row>
    <row r="53" spans="1:32">
      <c r="A53" s="142" t="s">
        <v>67</v>
      </c>
      <c r="B53" s="135">
        <v>0</v>
      </c>
      <c r="C53" s="135">
        <v>0</v>
      </c>
      <c r="D53" s="135">
        <v>0</v>
      </c>
      <c r="E53" s="162">
        <v>0</v>
      </c>
      <c r="F53" s="145">
        <v>-67926</v>
      </c>
      <c r="I53" s="142" t="s">
        <v>67</v>
      </c>
      <c r="J53" s="135">
        <v>0</v>
      </c>
      <c r="K53" s="135">
        <v>0</v>
      </c>
      <c r="L53" s="135">
        <v>0</v>
      </c>
      <c r="M53" s="145">
        <v>0</v>
      </c>
      <c r="N53" s="135">
        <v>-25214.63</v>
      </c>
      <c r="Q53" s="142" t="s">
        <v>67</v>
      </c>
      <c r="R53" s="135">
        <v>0</v>
      </c>
      <c r="S53" s="135">
        <v>0</v>
      </c>
      <c r="T53" s="135">
        <v>0</v>
      </c>
      <c r="U53" s="145">
        <v>0</v>
      </c>
      <c r="V53" s="135">
        <v>-25490.75</v>
      </c>
      <c r="Y53" s="142" t="s">
        <v>67</v>
      </c>
      <c r="Z53" s="135">
        <f t="shared" si="1"/>
        <v>0</v>
      </c>
      <c r="AA53" s="135">
        <f t="shared" si="1"/>
        <v>0</v>
      </c>
      <c r="AB53" s="135">
        <f t="shared" si="1"/>
        <v>0</v>
      </c>
      <c r="AC53" s="135">
        <f t="shared" si="2"/>
        <v>0</v>
      </c>
      <c r="AD53" s="135">
        <f t="shared" si="3"/>
        <v>-68202.12</v>
      </c>
    </row>
    <row r="54" spans="1:32">
      <c r="A54" s="163" t="s">
        <v>84</v>
      </c>
      <c r="B54" s="164">
        <v>0</v>
      </c>
      <c r="C54" s="164">
        <v>0</v>
      </c>
      <c r="D54" s="164">
        <v>-1562245</v>
      </c>
      <c r="E54" s="162">
        <v>-1562245</v>
      </c>
      <c r="F54" s="135">
        <v>0</v>
      </c>
      <c r="I54" s="163" t="s">
        <v>84</v>
      </c>
      <c r="J54" s="164">
        <v>0</v>
      </c>
      <c r="K54" s="164">
        <v>0</v>
      </c>
      <c r="L54" s="164">
        <v>-390561</v>
      </c>
      <c r="M54" s="145">
        <v>-390561</v>
      </c>
      <c r="N54" s="135">
        <v>0</v>
      </c>
      <c r="Q54" s="163" t="s">
        <v>84</v>
      </c>
      <c r="R54" s="164">
        <v>0</v>
      </c>
      <c r="S54" s="164">
        <v>0</v>
      </c>
      <c r="T54" s="164">
        <v>-293381.75</v>
      </c>
      <c r="U54" s="145">
        <v>-293381.75</v>
      </c>
      <c r="V54" s="135">
        <v>0</v>
      </c>
      <c r="Y54" s="163" t="s">
        <v>84</v>
      </c>
      <c r="Z54" s="164">
        <f t="shared" si="1"/>
        <v>0</v>
      </c>
      <c r="AA54" s="164">
        <f t="shared" si="1"/>
        <v>0</v>
      </c>
      <c r="AB54" s="164">
        <f t="shared" si="1"/>
        <v>-1465065.75</v>
      </c>
      <c r="AC54" s="135">
        <f t="shared" si="2"/>
        <v>-1465065.75</v>
      </c>
      <c r="AD54" s="135">
        <f t="shared" si="3"/>
        <v>0</v>
      </c>
    </row>
    <row r="55" spans="1:32">
      <c r="A55" s="140" t="s">
        <v>95</v>
      </c>
      <c r="B55" s="135">
        <v>275289.46999999997</v>
      </c>
      <c r="C55" s="135">
        <v>0</v>
      </c>
      <c r="D55" s="135">
        <v>157723</v>
      </c>
      <c r="E55" s="135">
        <v>433012.47</v>
      </c>
      <c r="F55" s="145">
        <v>1797848.05</v>
      </c>
      <c r="I55" s="140" t="s">
        <v>95</v>
      </c>
      <c r="J55" s="135">
        <v>5981.25</v>
      </c>
      <c r="K55" s="135">
        <v>0</v>
      </c>
      <c r="L55" s="135">
        <v>39056</v>
      </c>
      <c r="M55" s="135">
        <v>45037.25</v>
      </c>
      <c r="N55" s="135">
        <v>48148.5</v>
      </c>
      <c r="Q55" s="140" t="s">
        <v>95</v>
      </c>
      <c r="R55" s="135">
        <v>27586.62</v>
      </c>
      <c r="S55" s="135">
        <v>0</v>
      </c>
      <c r="T55" s="135">
        <v>29338</v>
      </c>
      <c r="U55" s="135">
        <v>56924.619999999995</v>
      </c>
      <c r="V55" s="135">
        <v>185747.25</v>
      </c>
      <c r="Y55" s="140" t="s">
        <v>95</v>
      </c>
      <c r="Z55" s="135">
        <f t="shared" si="1"/>
        <v>296894.83999999997</v>
      </c>
      <c r="AA55" s="135">
        <f t="shared" si="1"/>
        <v>0</v>
      </c>
      <c r="AB55" s="135">
        <f t="shared" si="1"/>
        <v>148005</v>
      </c>
      <c r="AC55" s="135">
        <f t="shared" si="2"/>
        <v>444899.83999999997</v>
      </c>
      <c r="AD55" s="135">
        <f t="shared" si="3"/>
        <v>1935446.8</v>
      </c>
    </row>
    <row r="56" spans="1:32">
      <c r="A56" s="142" t="s">
        <v>66</v>
      </c>
      <c r="B56" s="135">
        <v>54523</v>
      </c>
      <c r="C56" s="135">
        <v>-18879</v>
      </c>
      <c r="D56" s="135">
        <v>0</v>
      </c>
      <c r="E56" s="135">
        <v>35644</v>
      </c>
      <c r="F56" s="135">
        <v>0</v>
      </c>
      <c r="I56" s="142" t="s">
        <v>66</v>
      </c>
      <c r="J56" s="135">
        <v>0</v>
      </c>
      <c r="K56" s="135">
        <v>0</v>
      </c>
      <c r="L56" s="135">
        <v>0</v>
      </c>
      <c r="M56" s="135">
        <v>0</v>
      </c>
      <c r="N56" s="135">
        <v>0</v>
      </c>
      <c r="Q56" s="142" t="s">
        <v>66</v>
      </c>
      <c r="R56" s="135">
        <v>0</v>
      </c>
      <c r="S56" s="135">
        <v>0</v>
      </c>
      <c r="T56" s="135">
        <v>0</v>
      </c>
      <c r="U56" s="135">
        <v>0</v>
      </c>
      <c r="V56" s="135">
        <v>0</v>
      </c>
      <c r="Y56" s="142" t="s">
        <v>66</v>
      </c>
      <c r="Z56" s="135">
        <f t="shared" si="1"/>
        <v>54523</v>
      </c>
      <c r="AA56" s="135">
        <f t="shared" si="1"/>
        <v>-18879</v>
      </c>
      <c r="AB56" s="135">
        <f t="shared" si="1"/>
        <v>0</v>
      </c>
      <c r="AC56" s="135">
        <f t="shared" si="2"/>
        <v>35644</v>
      </c>
      <c r="AD56" s="135">
        <f t="shared" si="3"/>
        <v>0</v>
      </c>
    </row>
    <row r="57" spans="1:32">
      <c r="A57" s="140" t="s">
        <v>46</v>
      </c>
      <c r="B57" s="143">
        <v>1619109.52</v>
      </c>
      <c r="C57" s="143">
        <v>-25296.2</v>
      </c>
      <c r="D57" s="143">
        <v>-422632.88</v>
      </c>
      <c r="E57" s="143">
        <v>1171180.44</v>
      </c>
      <c r="F57" s="143">
        <v>-13398805.119999999</v>
      </c>
      <c r="I57" s="140" t="s">
        <v>46</v>
      </c>
      <c r="J57" s="143">
        <v>0</v>
      </c>
      <c r="K57" s="143">
        <v>0</v>
      </c>
      <c r="L57" s="143">
        <v>0</v>
      </c>
      <c r="M57" s="143">
        <v>0</v>
      </c>
      <c r="N57" s="143">
        <v>0</v>
      </c>
      <c r="Q57" s="140" t="s">
        <v>46</v>
      </c>
      <c r="R57" s="143">
        <v>-10.87</v>
      </c>
      <c r="S57" s="143">
        <v>0</v>
      </c>
      <c r="T57" s="143">
        <v>0</v>
      </c>
      <c r="U57" s="143">
        <v>-10.87</v>
      </c>
      <c r="V57" s="143">
        <v>-65.339999999850988</v>
      </c>
      <c r="Y57" s="140" t="s">
        <v>46</v>
      </c>
      <c r="Z57" s="143">
        <f t="shared" si="1"/>
        <v>1619098.65</v>
      </c>
      <c r="AA57" s="143">
        <f t="shared" si="1"/>
        <v>-25296.2</v>
      </c>
      <c r="AB57" s="143">
        <f t="shared" si="1"/>
        <v>-422632.88</v>
      </c>
      <c r="AC57" s="143">
        <f t="shared" si="2"/>
        <v>1171169.5699999998</v>
      </c>
      <c r="AD57" s="143">
        <f t="shared" si="3"/>
        <v>-13398870.459999999</v>
      </c>
    </row>
    <row r="58" spans="1:32">
      <c r="A58" s="142" t="s">
        <v>51</v>
      </c>
      <c r="B58" s="135">
        <v>6684116.8800000008</v>
      </c>
      <c r="C58" s="135">
        <v>64249.270000000004</v>
      </c>
      <c r="D58" s="135">
        <v>-1751075.0099999998</v>
      </c>
      <c r="E58" s="135">
        <v>4997291.1400000006</v>
      </c>
      <c r="F58" s="135">
        <f>-17250322.24-0.02</f>
        <v>-17250322.259999998</v>
      </c>
      <c r="I58" s="142" t="s">
        <v>51</v>
      </c>
      <c r="J58" s="135">
        <v>1479991.66</v>
      </c>
      <c r="K58" s="135">
        <v>44322.720000000001</v>
      </c>
      <c r="L58" s="135">
        <v>-255375.83000000002</v>
      </c>
      <c r="M58" s="135">
        <v>1268938.5499999998</v>
      </c>
      <c r="N58" s="145">
        <v>10993703.84</v>
      </c>
      <c r="Q58" s="142" t="s">
        <v>51</v>
      </c>
      <c r="R58" s="135">
        <v>-444042.8</v>
      </c>
      <c r="S58" s="135">
        <v>-10792.01</v>
      </c>
      <c r="T58" s="135">
        <v>-271616.34999999998</v>
      </c>
      <c r="U58" s="135">
        <v>-726451.15999999992</v>
      </c>
      <c r="V58" s="135">
        <v>-13607056.43</v>
      </c>
      <c r="Y58" s="142" t="s">
        <v>51</v>
      </c>
      <c r="Z58" s="135">
        <f>SUM(Z49:Z57)</f>
        <v>4760082.43</v>
      </c>
      <c r="AA58" s="135">
        <f>SUM(AA49:AA57)</f>
        <v>9134.5499999999993</v>
      </c>
      <c r="AB58" s="135">
        <f>SUM(AB49:AB57)</f>
        <v>-1767315.52</v>
      </c>
      <c r="AC58" s="135">
        <f>SUM(AC49:AC57)</f>
        <v>3001901.4599999995</v>
      </c>
      <c r="AD58" s="135">
        <f>SUM(AD49:AD57)</f>
        <v>-41851082.530000001</v>
      </c>
    </row>
    <row r="59" spans="1:32">
      <c r="A59" s="142" t="s">
        <v>96</v>
      </c>
      <c r="B59" s="143">
        <v>10.87</v>
      </c>
      <c r="C59" s="143">
        <v>0</v>
      </c>
      <c r="D59" s="143">
        <v>0</v>
      </c>
      <c r="E59" s="143">
        <v>10.87</v>
      </c>
      <c r="F59" s="165">
        <v>65.34</v>
      </c>
      <c r="I59" s="142" t="s">
        <v>96</v>
      </c>
      <c r="J59" s="143">
        <v>0</v>
      </c>
      <c r="K59" s="143">
        <v>0</v>
      </c>
      <c r="L59" s="143">
        <v>0</v>
      </c>
      <c r="M59" s="143">
        <v>0</v>
      </c>
      <c r="N59" s="165">
        <v>0</v>
      </c>
      <c r="Q59" s="142" t="s">
        <v>96</v>
      </c>
      <c r="R59" s="143">
        <v>0</v>
      </c>
      <c r="S59" s="143">
        <v>0</v>
      </c>
      <c r="T59" s="143">
        <v>0</v>
      </c>
      <c r="U59" s="143">
        <v>0</v>
      </c>
      <c r="V59" s="165">
        <v>0</v>
      </c>
      <c r="Y59" s="142" t="s">
        <v>96</v>
      </c>
      <c r="Z59" s="143">
        <f>+B59-J59+R59</f>
        <v>10.87</v>
      </c>
      <c r="AA59" s="143">
        <f>+C59-K59+S59</f>
        <v>0</v>
      </c>
      <c r="AB59" s="143">
        <f>+D59-L59+T59</f>
        <v>0</v>
      </c>
      <c r="AC59" s="143">
        <f>SUM(Z59:AB59)</f>
        <v>10.87</v>
      </c>
      <c r="AD59" s="165">
        <f>+F59-N59+V59</f>
        <v>65.34</v>
      </c>
    </row>
    <row r="60" spans="1:32">
      <c r="A60" s="133" t="s">
        <v>54</v>
      </c>
      <c r="B60" s="135">
        <v>6684127.7500000009</v>
      </c>
      <c r="C60" s="135">
        <v>64249.270000000004</v>
      </c>
      <c r="D60" s="135">
        <v>-1751075.0099999998</v>
      </c>
      <c r="E60" s="166">
        <f>4997302.01+0.03</f>
        <v>4997302.04</v>
      </c>
      <c r="F60" s="166">
        <f>-17250256.9-0.02</f>
        <v>-17250256.919999998</v>
      </c>
      <c r="I60" s="133" t="s">
        <v>54</v>
      </c>
      <c r="J60" s="135">
        <v>1479991.66</v>
      </c>
      <c r="K60" s="135">
        <v>44322.720000000001</v>
      </c>
      <c r="L60" s="135">
        <v>-255375.83000000002</v>
      </c>
      <c r="M60" s="166">
        <v>1268938.5499999998</v>
      </c>
      <c r="N60" s="166">
        <v>10993703.84</v>
      </c>
      <c r="Q60" s="133" t="s">
        <v>54</v>
      </c>
      <c r="R60" s="135">
        <v>-444042.8</v>
      </c>
      <c r="S60" s="135">
        <v>-10792.01</v>
      </c>
      <c r="T60" s="135">
        <v>-271616.34999999998</v>
      </c>
      <c r="U60" s="166">
        <v>-726451.15999999992</v>
      </c>
      <c r="V60" s="166">
        <v>-13607056.43</v>
      </c>
      <c r="Y60" s="133" t="s">
        <v>54</v>
      </c>
      <c r="Z60" s="135">
        <f>+Z58+Z59</f>
        <v>4760093.3</v>
      </c>
      <c r="AA60" s="135">
        <f>+AA58+AA59</f>
        <v>9134.5499999999993</v>
      </c>
      <c r="AB60" s="135">
        <f>+AB58+AB59</f>
        <v>-1767315.52</v>
      </c>
      <c r="AC60" s="135">
        <f>+AC58+AC59</f>
        <v>3001912.3299999996</v>
      </c>
      <c r="AD60" s="135">
        <f>+AD58+AD59</f>
        <v>-41851017.189999998</v>
      </c>
      <c r="AE60" s="150">
        <f>+E60-M60+U60</f>
        <v>3001912.33</v>
      </c>
      <c r="AF60" s="150">
        <f>+F60-N60+V60</f>
        <v>-41851017.189999998</v>
      </c>
    </row>
    <row r="61" spans="1:32">
      <c r="A61" s="133"/>
      <c r="B61" s="135"/>
      <c r="C61" s="135"/>
      <c r="D61" s="135"/>
      <c r="E61" s="135"/>
      <c r="F61" s="135"/>
      <c r="I61" s="133"/>
      <c r="J61" s="135"/>
      <c r="K61" s="135"/>
      <c r="L61" s="135"/>
      <c r="M61" s="135"/>
      <c r="N61" s="135"/>
      <c r="Q61" s="133"/>
      <c r="R61" s="135"/>
      <c r="S61" s="135"/>
      <c r="T61" s="135"/>
      <c r="U61" s="135"/>
      <c r="V61" s="135"/>
      <c r="Y61" s="133"/>
      <c r="Z61" s="135"/>
      <c r="AA61" s="135"/>
      <c r="AB61" s="135"/>
      <c r="AC61" s="135"/>
      <c r="AD61" s="135"/>
    </row>
    <row r="62" spans="1:32">
      <c r="A62" s="167"/>
      <c r="B62" s="135"/>
      <c r="C62" s="135"/>
      <c r="D62" s="135"/>
      <c r="E62" s="135"/>
      <c r="F62" s="135"/>
      <c r="I62" s="167"/>
      <c r="J62" s="135"/>
      <c r="K62" s="135"/>
      <c r="L62" s="135"/>
      <c r="M62" s="135"/>
      <c r="N62" s="135"/>
      <c r="Q62" s="167"/>
      <c r="R62" s="135"/>
      <c r="S62" s="135"/>
      <c r="T62" s="135"/>
      <c r="U62" s="135"/>
      <c r="V62" s="135"/>
      <c r="Y62" s="167"/>
      <c r="Z62" s="135"/>
      <c r="AA62" s="135"/>
      <c r="AB62" s="135"/>
      <c r="AC62" s="135"/>
      <c r="AD62" s="135"/>
    </row>
    <row r="63" spans="1:32">
      <c r="A63" s="133" t="s">
        <v>89</v>
      </c>
      <c r="B63" s="147">
        <v>20524625.449999999</v>
      </c>
      <c r="C63" s="147">
        <v>0</v>
      </c>
      <c r="D63" s="147">
        <v>0</v>
      </c>
      <c r="E63" s="135">
        <v>20524625.449999999</v>
      </c>
      <c r="F63" s="147">
        <v>152399512.19</v>
      </c>
      <c r="I63" s="133" t="s">
        <v>89</v>
      </c>
      <c r="J63" s="147">
        <v>2522887.79</v>
      </c>
      <c r="K63" s="147">
        <v>0</v>
      </c>
      <c r="L63" s="147">
        <v>0</v>
      </c>
      <c r="M63" s="135">
        <v>2522887.79</v>
      </c>
      <c r="N63" s="147">
        <v>15497281.92</v>
      </c>
      <c r="Q63" s="133" t="s">
        <v>89</v>
      </c>
      <c r="R63" s="147">
        <v>5538348.2599999998</v>
      </c>
      <c r="S63" s="147">
        <v>0</v>
      </c>
      <c r="T63" s="147">
        <v>0</v>
      </c>
      <c r="U63" s="135">
        <v>5538348.2599999998</v>
      </c>
      <c r="V63" s="147">
        <v>31699158.09</v>
      </c>
      <c r="Y63" s="133" t="s">
        <v>89</v>
      </c>
      <c r="Z63" s="147">
        <f t="shared" ref="Z63:AB68" si="4">+B63-J63+R63</f>
        <v>23540085.920000002</v>
      </c>
      <c r="AA63" s="147">
        <f t="shared" si="4"/>
        <v>0</v>
      </c>
      <c r="AB63" s="147">
        <f t="shared" si="4"/>
        <v>0</v>
      </c>
      <c r="AC63" s="135">
        <f t="shared" ref="AC63:AC68" si="5">SUM(Z63:AB63)</f>
        <v>23540085.920000002</v>
      </c>
      <c r="AD63" s="147">
        <f t="shared" ref="AD63:AD68" si="6">+F63-N63+V63</f>
        <v>168601388.36000001</v>
      </c>
    </row>
    <row r="64" spans="1:32">
      <c r="A64" s="133" t="s">
        <v>88</v>
      </c>
      <c r="B64" s="147">
        <v>-14773038.549999999</v>
      </c>
      <c r="C64" s="147">
        <v>0</v>
      </c>
      <c r="D64" s="147">
        <v>0</v>
      </c>
      <c r="E64" s="135">
        <v>-14773038.549999999</v>
      </c>
      <c r="F64" s="147">
        <v>-82440857.939999998</v>
      </c>
      <c r="I64" s="133" t="s">
        <v>88</v>
      </c>
      <c r="J64" s="147">
        <v>-1914821.18</v>
      </c>
      <c r="K64" s="147">
        <v>0</v>
      </c>
      <c r="L64" s="147">
        <v>0</v>
      </c>
      <c r="M64" s="135">
        <v>-1914821.18</v>
      </c>
      <c r="N64" s="147">
        <v>-13169374.869999999</v>
      </c>
      <c r="Q64" s="133" t="s">
        <v>88</v>
      </c>
      <c r="R64" s="147">
        <v>-4009115.13</v>
      </c>
      <c r="S64" s="147">
        <v>0</v>
      </c>
      <c r="T64" s="147">
        <v>0</v>
      </c>
      <c r="U64" s="135">
        <v>-4009115.13</v>
      </c>
      <c r="V64" s="147">
        <v>-11780934.900000002</v>
      </c>
      <c r="Y64" s="133" t="s">
        <v>88</v>
      </c>
      <c r="Z64" s="147">
        <f t="shared" si="4"/>
        <v>-16867332.5</v>
      </c>
      <c r="AA64" s="147">
        <f t="shared" si="4"/>
        <v>0</v>
      </c>
      <c r="AB64" s="147">
        <f t="shared" si="4"/>
        <v>0</v>
      </c>
      <c r="AC64" s="135">
        <f t="shared" si="5"/>
        <v>-16867332.5</v>
      </c>
      <c r="AD64" s="147">
        <f t="shared" si="6"/>
        <v>-81052417.969999999</v>
      </c>
    </row>
    <row r="65" spans="1:31">
      <c r="A65" s="133" t="s">
        <v>86</v>
      </c>
      <c r="B65" s="135">
        <v>0</v>
      </c>
      <c r="C65" s="135">
        <v>0</v>
      </c>
      <c r="D65" s="135">
        <v>0</v>
      </c>
      <c r="E65" s="135">
        <v>0</v>
      </c>
      <c r="F65" s="135">
        <v>97158.31</v>
      </c>
      <c r="I65" s="133" t="s">
        <v>86</v>
      </c>
      <c r="J65" s="135">
        <v>0</v>
      </c>
      <c r="K65" s="135">
        <v>0</v>
      </c>
      <c r="L65" s="135">
        <v>0</v>
      </c>
      <c r="M65" s="135">
        <v>0</v>
      </c>
      <c r="N65" s="135">
        <v>0</v>
      </c>
      <c r="Q65" s="133" t="s">
        <v>86</v>
      </c>
      <c r="R65" s="135">
        <v>0</v>
      </c>
      <c r="S65" s="135">
        <v>0</v>
      </c>
      <c r="T65" s="135">
        <v>0</v>
      </c>
      <c r="U65" s="135">
        <v>0</v>
      </c>
      <c r="V65" s="135">
        <v>9655.32</v>
      </c>
      <c r="Y65" s="133" t="s">
        <v>86</v>
      </c>
      <c r="Z65" s="135">
        <f t="shared" si="4"/>
        <v>0</v>
      </c>
      <c r="AA65" s="135">
        <f t="shared" si="4"/>
        <v>0</v>
      </c>
      <c r="AB65" s="135">
        <f t="shared" si="4"/>
        <v>0</v>
      </c>
      <c r="AC65" s="135">
        <f t="shared" si="5"/>
        <v>0</v>
      </c>
      <c r="AD65" s="135">
        <f t="shared" si="6"/>
        <v>106813.63</v>
      </c>
    </row>
    <row r="66" spans="1:31">
      <c r="A66" s="133" t="s">
        <v>87</v>
      </c>
      <c r="B66" s="135">
        <v>-277595.18</v>
      </c>
      <c r="C66" s="135">
        <v>0</v>
      </c>
      <c r="D66" s="147">
        <v>-8927.1200000000008</v>
      </c>
      <c r="E66" s="135">
        <v>-286522.3</v>
      </c>
      <c r="F66" s="147">
        <v>-1915751.62</v>
      </c>
      <c r="I66" s="133" t="s">
        <v>87</v>
      </c>
      <c r="J66" s="135">
        <v>0</v>
      </c>
      <c r="K66" s="135">
        <v>0</v>
      </c>
      <c r="L66" s="147">
        <v>-2210.5658559999997</v>
      </c>
      <c r="M66" s="135">
        <v>-2210.5658559999997</v>
      </c>
      <c r="N66" s="147">
        <v>-12895.9</v>
      </c>
      <c r="Q66" s="133" t="s">
        <v>87</v>
      </c>
      <c r="R66" s="135">
        <v>-27586.62</v>
      </c>
      <c r="S66" s="135">
        <v>0</v>
      </c>
      <c r="T66" s="147">
        <v>-1660.53</v>
      </c>
      <c r="U66" s="135">
        <v>-29247.149999999998</v>
      </c>
      <c r="V66" s="147">
        <v>-194893.68</v>
      </c>
      <c r="Y66" s="133" t="s">
        <v>87</v>
      </c>
      <c r="Z66" s="135">
        <f t="shared" si="4"/>
        <v>-305181.8</v>
      </c>
      <c r="AA66" s="135">
        <f t="shared" si="4"/>
        <v>0</v>
      </c>
      <c r="AB66" s="147">
        <f t="shared" si="4"/>
        <v>-8377.0841440000022</v>
      </c>
      <c r="AC66" s="135">
        <f t="shared" si="5"/>
        <v>-313558.88414400001</v>
      </c>
      <c r="AD66" s="147">
        <f t="shared" si="6"/>
        <v>-2097749.4000000004</v>
      </c>
    </row>
    <row r="67" spans="1:31">
      <c r="A67" s="140" t="s">
        <v>90</v>
      </c>
      <c r="B67" s="147">
        <v>1443821.8</v>
      </c>
      <c r="C67" s="135">
        <v>0</v>
      </c>
      <c r="D67" s="135">
        <v>0</v>
      </c>
      <c r="E67" s="135">
        <v>1443821.8</v>
      </c>
      <c r="F67" s="147">
        <v>14832946</v>
      </c>
      <c r="I67" s="140" t="s">
        <v>90</v>
      </c>
      <c r="J67" s="147">
        <v>0</v>
      </c>
      <c r="K67" s="135">
        <v>0</v>
      </c>
      <c r="L67" s="135">
        <v>0</v>
      </c>
      <c r="M67" s="135">
        <v>0</v>
      </c>
      <c r="N67" s="147">
        <v>0</v>
      </c>
      <c r="Q67" s="140" t="s">
        <v>90</v>
      </c>
      <c r="R67" s="147">
        <v>0</v>
      </c>
      <c r="S67" s="135">
        <v>0</v>
      </c>
      <c r="T67" s="135">
        <v>0</v>
      </c>
      <c r="U67" s="135">
        <v>0</v>
      </c>
      <c r="V67" s="147">
        <v>0</v>
      </c>
      <c r="Y67" s="140" t="s">
        <v>90</v>
      </c>
      <c r="Z67" s="147">
        <f t="shared" si="4"/>
        <v>1443821.8</v>
      </c>
      <c r="AA67" s="135">
        <f t="shared" si="4"/>
        <v>0</v>
      </c>
      <c r="AB67" s="135">
        <f t="shared" si="4"/>
        <v>0</v>
      </c>
      <c r="AC67" s="135">
        <f t="shared" si="5"/>
        <v>1443821.8</v>
      </c>
      <c r="AD67" s="147">
        <f t="shared" si="6"/>
        <v>14832946</v>
      </c>
    </row>
    <row r="68" spans="1:31">
      <c r="A68" s="140" t="s">
        <v>91</v>
      </c>
      <c r="B68" s="147">
        <v>-2903867</v>
      </c>
      <c r="C68" s="147">
        <v>0</v>
      </c>
      <c r="D68" s="147">
        <v>0</v>
      </c>
      <c r="E68" s="135">
        <v>-2903867</v>
      </c>
      <c r="F68" s="147">
        <v>-1925939</v>
      </c>
      <c r="I68" s="140" t="s">
        <v>91</v>
      </c>
      <c r="J68" s="147">
        <v>0</v>
      </c>
      <c r="K68" s="147">
        <v>0</v>
      </c>
      <c r="L68" s="147">
        <v>0</v>
      </c>
      <c r="M68" s="135">
        <v>0</v>
      </c>
      <c r="N68" s="147">
        <v>0</v>
      </c>
      <c r="Q68" s="140" t="s">
        <v>91</v>
      </c>
      <c r="R68" s="147">
        <v>0</v>
      </c>
      <c r="S68" s="147">
        <v>0</v>
      </c>
      <c r="T68" s="147">
        <v>0</v>
      </c>
      <c r="U68" s="135">
        <v>0</v>
      </c>
      <c r="V68" s="147">
        <v>0</v>
      </c>
      <c r="Y68" s="140" t="s">
        <v>91</v>
      </c>
      <c r="Z68" s="147">
        <f t="shared" si="4"/>
        <v>-2903867</v>
      </c>
      <c r="AA68" s="147">
        <f t="shared" si="4"/>
        <v>0</v>
      </c>
      <c r="AB68" s="147">
        <f t="shared" si="4"/>
        <v>0</v>
      </c>
      <c r="AC68" s="135">
        <f t="shared" si="5"/>
        <v>-2903867</v>
      </c>
      <c r="AD68" s="147">
        <f t="shared" si="6"/>
        <v>-1925939</v>
      </c>
    </row>
    <row r="69" spans="1:31" ht="15.75" thickBot="1">
      <c r="A69" s="148" t="s">
        <v>31</v>
      </c>
      <c r="B69" s="168">
        <v>10698074.270000001</v>
      </c>
      <c r="C69" s="168">
        <v>64249.270000000004</v>
      </c>
      <c r="D69" s="168">
        <v>-1760002.13</v>
      </c>
      <c r="E69" s="168">
        <v>9002321.410000002</v>
      </c>
      <c r="F69" s="168">
        <v>63796811.039999999</v>
      </c>
      <c r="I69" s="148" t="s">
        <v>31</v>
      </c>
      <c r="J69" s="168">
        <v>2088058.2700000003</v>
      </c>
      <c r="K69" s="168">
        <v>44322.720000000001</v>
      </c>
      <c r="L69" s="168">
        <v>-257586.39585600002</v>
      </c>
      <c r="M69" s="168">
        <v>1874794.594144</v>
      </c>
      <c r="N69" s="168">
        <v>13308714.989999998</v>
      </c>
      <c r="Q69" s="148" t="s">
        <v>31</v>
      </c>
      <c r="R69" s="168">
        <v>1057603.71</v>
      </c>
      <c r="S69" s="168">
        <v>-10792.01</v>
      </c>
      <c r="T69" s="168">
        <v>-273276.88</v>
      </c>
      <c r="U69" s="168">
        <v>773534.81999999972</v>
      </c>
      <c r="V69" s="168">
        <v>6125928.3999999985</v>
      </c>
      <c r="Y69" s="148" t="s">
        <v>31</v>
      </c>
      <c r="Z69" s="168">
        <f>SUM(Z60:Z68)</f>
        <v>9667619.7200000025</v>
      </c>
      <c r="AA69" s="168">
        <f>SUM(AA60:AA68)</f>
        <v>9134.5499999999993</v>
      </c>
      <c r="AB69" s="168">
        <f>SUM(AB60:AB68)</f>
        <v>-1775692.604144</v>
      </c>
      <c r="AC69" s="168">
        <f>SUM(AC60:AC68)</f>
        <v>7901061.665856</v>
      </c>
      <c r="AD69" s="168">
        <f>SUM(AD60:AD68)</f>
        <v>56614024.430000022</v>
      </c>
    </row>
    <row r="70" spans="1:31" ht="15.75" thickTop="1">
      <c r="A70" s="169"/>
      <c r="B70" s="135"/>
      <c r="C70" s="135"/>
      <c r="D70" s="135"/>
      <c r="E70" s="170" t="s">
        <v>61</v>
      </c>
      <c r="F70" s="135">
        <v>194909379.61000001</v>
      </c>
      <c r="I70" s="169"/>
      <c r="J70" s="135"/>
      <c r="K70" s="135"/>
      <c r="L70" s="135"/>
      <c r="M70" s="170" t="s">
        <v>61</v>
      </c>
      <c r="N70" s="135">
        <v>41050793.989999995</v>
      </c>
      <c r="Q70" s="169"/>
      <c r="R70" s="135"/>
      <c r="S70" s="135"/>
      <c r="T70" s="135"/>
      <c r="U70" s="170" t="s">
        <v>61</v>
      </c>
      <c r="V70" s="135">
        <v>18414501.039999999</v>
      </c>
      <c r="Y70" s="169"/>
      <c r="Z70" s="135"/>
      <c r="AA70" s="135"/>
      <c r="AB70" s="135"/>
      <c r="AC70" s="170" t="s">
        <v>61</v>
      </c>
      <c r="AD70" s="135">
        <f>+AD10</f>
        <v>172273086.66000003</v>
      </c>
      <c r="AE70" s="150">
        <f t="shared" ref="AE70:AE72" si="7">+F70-N70+V70</f>
        <v>172273086.66</v>
      </c>
    </row>
    <row r="71" spans="1:31">
      <c r="A71" s="133" t="s">
        <v>56</v>
      </c>
      <c r="B71" s="135"/>
      <c r="C71" s="135"/>
      <c r="D71" s="135"/>
      <c r="E71" s="170" t="s">
        <v>60</v>
      </c>
      <c r="F71" s="143">
        <v>72799132.450000003</v>
      </c>
      <c r="I71" s="133" t="s">
        <v>56</v>
      </c>
      <c r="J71" s="135"/>
      <c r="K71" s="135"/>
      <c r="L71" s="135"/>
      <c r="M71" s="170" t="s">
        <v>60</v>
      </c>
      <c r="N71" s="143">
        <v>15183509.584143998</v>
      </c>
      <c r="Q71" s="133" t="s">
        <v>56</v>
      </c>
      <c r="R71" s="135"/>
      <c r="S71" s="135"/>
      <c r="T71" s="135"/>
      <c r="U71" s="170" t="s">
        <v>60</v>
      </c>
      <c r="V71" s="143">
        <v>6899463.2199999979</v>
      </c>
      <c r="Y71" s="133" t="s">
        <v>56</v>
      </c>
      <c r="Z71" s="135"/>
      <c r="AA71" s="135"/>
      <c r="AB71" s="135"/>
      <c r="AC71" s="170" t="s">
        <v>60</v>
      </c>
      <c r="AD71" s="143">
        <f>+AD69+AC69</f>
        <v>64515086.095856026</v>
      </c>
      <c r="AE71" s="150">
        <f t="shared" si="7"/>
        <v>64515086.085856006</v>
      </c>
    </row>
    <row r="72" spans="1:31" ht="15.75" thickBot="1">
      <c r="A72" s="148" t="s">
        <v>78</v>
      </c>
      <c r="B72" s="135"/>
      <c r="C72" s="135"/>
      <c r="D72" s="135"/>
      <c r="E72" s="135" t="s">
        <v>59</v>
      </c>
      <c r="F72" s="168">
        <v>122110247.16000001</v>
      </c>
      <c r="I72" s="148" t="s">
        <v>78</v>
      </c>
      <c r="J72" s="135"/>
      <c r="K72" s="135"/>
      <c r="L72" s="135"/>
      <c r="M72" s="135" t="s">
        <v>59</v>
      </c>
      <c r="N72" s="168">
        <v>25867284.405855998</v>
      </c>
      <c r="Q72" s="148" t="s">
        <v>78</v>
      </c>
      <c r="R72" s="135"/>
      <c r="S72" s="135"/>
      <c r="T72" s="135"/>
      <c r="U72" s="135" t="s">
        <v>59</v>
      </c>
      <c r="V72" s="168">
        <v>11515037.82</v>
      </c>
      <c r="Y72" s="148" t="s">
        <v>78</v>
      </c>
      <c r="Z72" s="135"/>
      <c r="AA72" s="135"/>
      <c r="AB72" s="135"/>
      <c r="AC72" s="135" t="s">
        <v>59</v>
      </c>
      <c r="AD72" s="168">
        <f>+AD70+-AD71</f>
        <v>107758000.564144</v>
      </c>
      <c r="AE72" s="150">
        <f t="shared" si="7"/>
        <v>107758000.57414401</v>
      </c>
    </row>
    <row r="73" spans="1:31" ht="15.75" thickTop="1">
      <c r="A73" s="133" t="s">
        <v>79</v>
      </c>
      <c r="B73" s="135" t="s">
        <v>82</v>
      </c>
      <c r="C73" s="135"/>
      <c r="D73" s="135"/>
      <c r="E73" s="135"/>
      <c r="F73" s="135"/>
      <c r="I73" s="133" t="s">
        <v>79</v>
      </c>
      <c r="J73" s="135" t="s">
        <v>82</v>
      </c>
      <c r="K73" s="135"/>
      <c r="L73" s="135"/>
      <c r="M73" s="135"/>
      <c r="N73" s="135"/>
      <c r="Q73" s="133" t="s">
        <v>79</v>
      </c>
      <c r="R73" s="135" t="s">
        <v>82</v>
      </c>
      <c r="S73" s="135"/>
      <c r="T73" s="135"/>
      <c r="U73" s="135"/>
      <c r="V73" s="135"/>
      <c r="Y73" s="133" t="s">
        <v>79</v>
      </c>
      <c r="Z73" s="135" t="s">
        <v>82</v>
      </c>
      <c r="AA73" s="135"/>
      <c r="AB73" s="135"/>
      <c r="AC73" s="135"/>
      <c r="AD73" s="135"/>
    </row>
    <row r="74" spans="1:31">
      <c r="Y74" s="5"/>
      <c r="Z74" s="91"/>
      <c r="AA74" s="91"/>
      <c r="AB74" s="91"/>
      <c r="AC74" s="92" t="s">
        <v>43</v>
      </c>
      <c r="AD74" s="91"/>
    </row>
    <row r="75" spans="1:31">
      <c r="Y75" s="25"/>
      <c r="Z75" s="25"/>
      <c r="AA75" s="25"/>
      <c r="AB75" s="25"/>
      <c r="AC75" s="94" t="s">
        <v>35</v>
      </c>
      <c r="AD75" s="95" t="s">
        <v>13</v>
      </c>
    </row>
    <row r="76" spans="1:31">
      <c r="Y76" s="25"/>
      <c r="Z76" s="25"/>
      <c r="AA76" s="25"/>
      <c r="AB76" s="25"/>
      <c r="AC76" s="125" t="s">
        <v>129</v>
      </c>
      <c r="AD76" s="125" t="s">
        <v>129</v>
      </c>
    </row>
    <row r="77" spans="1:31">
      <c r="Y77" s="5" t="s">
        <v>130</v>
      </c>
      <c r="Z77" s="5"/>
      <c r="AA77" s="5"/>
      <c r="AB77" s="5"/>
      <c r="AC77" s="90">
        <v>-121523</v>
      </c>
      <c r="AD77" s="90">
        <v>-121523</v>
      </c>
    </row>
    <row r="78" spans="1:31">
      <c r="Y78" s="5" t="s">
        <v>132</v>
      </c>
      <c r="Z78" s="5"/>
      <c r="AA78" s="5"/>
      <c r="AB78" s="5"/>
      <c r="AC78" s="90">
        <f>ROUND((-114149338.15/1000),0)</f>
        <v>-114149</v>
      </c>
      <c r="AD78" s="90">
        <f>ROUND((-217673730.96/1000),0)</f>
        <v>-217674</v>
      </c>
    </row>
    <row r="79" spans="1:31">
      <c r="Y79" s="5" t="s">
        <v>134</v>
      </c>
      <c r="Z79" s="5"/>
      <c r="AA79" s="5"/>
      <c r="AB79" s="5"/>
      <c r="AC79" s="90">
        <f>-ROUND((-20204425.62/1000),0)</f>
        <v>20204</v>
      </c>
      <c r="AD79" s="90">
        <f>-ROUND((-16942241.16/1000),0)</f>
        <v>16942</v>
      </c>
    </row>
    <row r="80" spans="1:31">
      <c r="Y80" s="5" t="s">
        <v>133</v>
      </c>
      <c r="Z80" s="5"/>
      <c r="AA80" s="5"/>
      <c r="AB80" s="5"/>
      <c r="AC80" s="90">
        <f>ROUND((-30531639.06/1000),0)</f>
        <v>-30532</v>
      </c>
      <c r="AD80" s="90">
        <f>ROUND((-61608065.82/1000),0)</f>
        <v>-61608</v>
      </c>
    </row>
    <row r="81" spans="25:30">
      <c r="Y81" s="5" t="s">
        <v>131</v>
      </c>
      <c r="Z81" s="5"/>
      <c r="AA81" s="5"/>
      <c r="AB81" s="5"/>
      <c r="AC81" s="173">
        <f>SUM(AC77:AC80)</f>
        <v>-246000</v>
      </c>
      <c r="AD81" s="173">
        <f>SUM(AD77:AD80)</f>
        <v>-383863</v>
      </c>
    </row>
  </sheetData>
  <pageMargins left="0.7" right="0.7" top="0.75" bottom="0.75" header="0.3" footer="0.3"/>
  <pageSetup scale="58"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AI97"/>
  <sheetViews>
    <sheetView view="pageBreakPreview" zoomScale="90" zoomScaleNormal="100" zoomScaleSheetLayoutView="90" workbookViewId="0">
      <pane xSplit="1" ySplit="7" topLeftCell="AB52" activePane="bottomRight" state="frozen"/>
      <selection pane="topRight" activeCell="B1" sqref="B1"/>
      <selection pane="bottomLeft" activeCell="A8" sqref="A8"/>
      <selection pane="bottomRight" activeCell="AD54" sqref="AD54"/>
    </sheetView>
  </sheetViews>
  <sheetFormatPr defaultRowHeight="12.75"/>
  <cols>
    <col min="1" max="1" width="43.25" style="25" customWidth="1"/>
    <col min="2" max="2" width="18.5" style="109" customWidth="1"/>
    <col min="3" max="3" width="17.75" style="109" customWidth="1"/>
    <col min="4" max="4" width="19.75" style="109" customWidth="1"/>
    <col min="5" max="5" width="20.625" style="109" customWidth="1"/>
    <col min="6" max="6" width="18.75" style="91" customWidth="1"/>
    <col min="7" max="7" width="7.875" style="91" bestFit="1" customWidth="1"/>
    <col min="8" max="9" width="19.25" style="25" customWidth="1"/>
    <col min="10" max="10" width="22.125" style="25" customWidth="1"/>
    <col min="11" max="11" width="16" style="25" customWidth="1"/>
    <col min="12" max="12" width="40.5" style="25" customWidth="1"/>
    <col min="13" max="13" width="16.125" style="100" customWidth="1"/>
    <col min="14" max="14" width="17.25" style="100" customWidth="1"/>
    <col min="15" max="15" width="15.75" style="100" customWidth="1"/>
    <col min="16" max="16" width="13.875" style="100" bestFit="1" customWidth="1"/>
    <col min="17" max="17" width="18.25" style="100" customWidth="1"/>
    <col min="18" max="18" width="18" style="25" customWidth="1"/>
    <col min="19" max="19" width="14.75" style="25" bestFit="1" customWidth="1"/>
    <col min="20" max="20" width="12.125" style="25" bestFit="1" customWidth="1"/>
    <col min="21" max="21" width="11.125" style="25" customWidth="1"/>
    <col min="22" max="22" width="12.875" style="25" customWidth="1"/>
    <col min="23" max="26" width="9" style="25"/>
    <col min="27" max="27" width="34.875" style="25" customWidth="1"/>
    <col min="28" max="32" width="18.625" style="25" customWidth="1"/>
    <col min="33" max="33" width="15.875" style="25" customWidth="1"/>
    <col min="34" max="34" width="9" style="25"/>
    <col min="35" max="35" width="16.125" style="25" bestFit="1" customWidth="1"/>
    <col min="36" max="16384" width="9" style="25"/>
  </cols>
  <sheetData>
    <row r="1" spans="1:35">
      <c r="A1" s="1" t="s">
        <v>32</v>
      </c>
      <c r="B1" s="87"/>
      <c r="C1" s="87"/>
      <c r="D1" s="87"/>
      <c r="E1" s="87"/>
      <c r="F1" s="88"/>
      <c r="G1" s="88"/>
      <c r="L1" s="1" t="s">
        <v>32</v>
      </c>
      <c r="M1" s="88"/>
      <c r="N1" s="88"/>
      <c r="O1" s="88"/>
      <c r="P1" s="88"/>
      <c r="Q1" s="88"/>
      <c r="AA1" s="1" t="s">
        <v>32</v>
      </c>
      <c r="AB1" s="87"/>
      <c r="AC1" s="87"/>
      <c r="AD1" s="87"/>
      <c r="AE1" s="87"/>
      <c r="AF1" s="88"/>
    </row>
    <row r="2" spans="1:35">
      <c r="A2" s="1" t="s">
        <v>33</v>
      </c>
      <c r="B2" s="87"/>
      <c r="C2" s="87"/>
      <c r="D2" s="87"/>
      <c r="E2" s="87"/>
      <c r="F2" s="88"/>
      <c r="G2" s="88"/>
      <c r="L2" s="1" t="s">
        <v>65</v>
      </c>
      <c r="M2" s="88"/>
      <c r="N2" s="88"/>
      <c r="O2" s="88"/>
      <c r="P2" s="88"/>
      <c r="Q2" s="88"/>
      <c r="AA2" s="1" t="s">
        <v>97</v>
      </c>
      <c r="AB2" s="87"/>
      <c r="AC2" s="87"/>
      <c r="AD2" s="87"/>
      <c r="AE2" s="87"/>
      <c r="AF2" s="88"/>
    </row>
    <row r="3" spans="1:35">
      <c r="A3" s="1" t="s">
        <v>110</v>
      </c>
      <c r="B3" s="87"/>
      <c r="C3" s="87"/>
      <c r="D3" s="87"/>
      <c r="E3" s="87"/>
      <c r="F3" s="88"/>
      <c r="G3" s="88"/>
      <c r="L3" s="1" t="str">
        <f>+A3</f>
        <v>December YTD, 2010</v>
      </c>
      <c r="M3" s="88"/>
      <c r="N3" s="88"/>
      <c r="O3" s="88"/>
      <c r="P3" s="88"/>
      <c r="Q3" s="88"/>
      <c r="AA3" s="1" t="str">
        <f>+A3</f>
        <v>December YTD, 2010</v>
      </c>
      <c r="AB3" s="87"/>
      <c r="AC3" s="87"/>
      <c r="AD3" s="87"/>
      <c r="AE3" s="87"/>
      <c r="AF3" s="88"/>
    </row>
    <row r="4" spans="1:35">
      <c r="A4" s="4" t="s">
        <v>34</v>
      </c>
      <c r="B4" s="87"/>
      <c r="C4" s="87"/>
      <c r="D4" s="87"/>
      <c r="E4" s="87"/>
      <c r="F4" s="88"/>
      <c r="G4" s="88"/>
      <c r="H4" s="31"/>
      <c r="L4" s="4" t="s">
        <v>34</v>
      </c>
      <c r="M4" s="88"/>
      <c r="N4" s="88"/>
      <c r="O4" s="88"/>
      <c r="P4" s="88"/>
      <c r="Q4" s="88"/>
      <c r="R4" s="31"/>
      <c r="AA4" s="4" t="s">
        <v>34</v>
      </c>
      <c r="AB4" s="87"/>
      <c r="AC4" s="87"/>
      <c r="AD4" s="87"/>
      <c r="AE4" s="87"/>
      <c r="AF4" s="88"/>
    </row>
    <row r="5" spans="1:35" ht="15.75">
      <c r="A5" s="5" t="s">
        <v>94</v>
      </c>
      <c r="B5" s="89"/>
      <c r="C5" s="90"/>
      <c r="D5" s="90"/>
      <c r="E5" s="90"/>
      <c r="L5" s="5" t="s">
        <v>94</v>
      </c>
      <c r="M5" s="89">
        <f>+B5</f>
        <v>0</v>
      </c>
      <c r="N5" s="91"/>
      <c r="O5" s="91"/>
      <c r="P5" s="91"/>
      <c r="Q5" s="91"/>
      <c r="AA5" s="5" t="s">
        <v>94</v>
      </c>
      <c r="AB5" s="90"/>
      <c r="AC5" s="90"/>
      <c r="AD5" s="90"/>
      <c r="AE5" s="90"/>
      <c r="AF5" s="91"/>
    </row>
    <row r="6" spans="1:35">
      <c r="A6" s="5"/>
      <c r="B6" s="90"/>
      <c r="C6" s="90"/>
      <c r="D6" s="90"/>
      <c r="E6" s="92" t="s">
        <v>43</v>
      </c>
      <c r="H6" s="31"/>
      <c r="L6" s="5"/>
      <c r="M6" s="91"/>
      <c r="N6" s="91"/>
      <c r="O6" s="91"/>
      <c r="P6" s="93" t="s">
        <v>43</v>
      </c>
      <c r="Q6" s="91"/>
      <c r="R6" s="31"/>
      <c r="AA6" s="5"/>
      <c r="AB6" s="90"/>
      <c r="AC6" s="90"/>
      <c r="AD6" s="90"/>
      <c r="AE6" s="92" t="s">
        <v>43</v>
      </c>
      <c r="AF6" s="91"/>
    </row>
    <row r="7" spans="1:35">
      <c r="A7" s="5"/>
      <c r="B7" s="94" t="s">
        <v>10</v>
      </c>
      <c r="C7" s="94" t="s">
        <v>11</v>
      </c>
      <c r="D7" s="94" t="s">
        <v>12</v>
      </c>
      <c r="E7" s="94" t="s">
        <v>35</v>
      </c>
      <c r="F7" s="95" t="s">
        <v>13</v>
      </c>
      <c r="L7" s="5"/>
      <c r="M7" s="95" t="s">
        <v>10</v>
      </c>
      <c r="N7" s="95" t="s">
        <v>11</v>
      </c>
      <c r="O7" s="95" t="s">
        <v>12</v>
      </c>
      <c r="P7" s="95" t="s">
        <v>35</v>
      </c>
      <c r="Q7" s="95" t="s">
        <v>13</v>
      </c>
      <c r="AA7" s="5"/>
      <c r="AB7" s="94" t="s">
        <v>10</v>
      </c>
      <c r="AC7" s="94" t="s">
        <v>11</v>
      </c>
      <c r="AD7" s="94" t="s">
        <v>12</v>
      </c>
      <c r="AE7" s="94" t="s">
        <v>35</v>
      </c>
      <c r="AF7" s="95" t="s">
        <v>13</v>
      </c>
    </row>
    <row r="8" spans="1:35">
      <c r="A8" s="11" t="s">
        <v>49</v>
      </c>
      <c r="B8" s="91">
        <f>+F8</f>
        <v>201780221.12</v>
      </c>
      <c r="C8" s="91">
        <f>+F8</f>
        <v>201780221.12</v>
      </c>
      <c r="D8" s="91">
        <f>+B8</f>
        <v>201780221.12</v>
      </c>
      <c r="E8" s="90"/>
      <c r="F8" s="91">
        <f>201851830.78-71609.66</f>
        <v>201780221.12</v>
      </c>
      <c r="G8" s="96"/>
      <c r="H8" s="97" t="s">
        <v>57</v>
      </c>
      <c r="I8" s="35"/>
      <c r="J8" s="35"/>
      <c r="L8" s="11" t="s">
        <v>49</v>
      </c>
      <c r="M8" s="91">
        <f>+Q8</f>
        <v>4317712.4800000004</v>
      </c>
      <c r="N8" s="91">
        <f>+Q8</f>
        <v>4317712.4800000004</v>
      </c>
      <c r="O8" s="91">
        <f>+M8</f>
        <v>4317712.4800000004</v>
      </c>
      <c r="P8" s="91"/>
      <c r="Q8" s="96">
        <v>4317712.4800000004</v>
      </c>
      <c r="R8" s="97" t="s">
        <v>57</v>
      </c>
      <c r="AA8" s="11" t="s">
        <v>49</v>
      </c>
      <c r="AB8" s="91">
        <f>+AF8</f>
        <v>197462508.64000002</v>
      </c>
      <c r="AC8" s="91">
        <f>+AF8</f>
        <v>197462508.64000002</v>
      </c>
      <c r="AD8" s="91">
        <f>+AB8</f>
        <v>197462508.64000002</v>
      </c>
      <c r="AE8" s="90"/>
      <c r="AF8" s="91">
        <f>+F8-Q8</f>
        <v>197462508.64000002</v>
      </c>
    </row>
    <row r="9" spans="1:35">
      <c r="A9" s="12" t="s">
        <v>64</v>
      </c>
      <c r="B9" s="98">
        <f>+F9</f>
        <v>-2553129.0299999998</v>
      </c>
      <c r="C9" s="98">
        <f>+F9</f>
        <v>-2553129.0299999998</v>
      </c>
      <c r="D9" s="98">
        <f>+B9</f>
        <v>-2553129.0299999998</v>
      </c>
      <c r="E9" s="90"/>
      <c r="F9" s="98">
        <v>-2553129.0299999998</v>
      </c>
      <c r="G9" s="96"/>
      <c r="H9" s="97"/>
      <c r="I9" s="35"/>
      <c r="J9" s="35"/>
      <c r="L9" s="12" t="s">
        <v>64</v>
      </c>
      <c r="M9" s="98">
        <f>+Q9</f>
        <v>0</v>
      </c>
      <c r="N9" s="98">
        <f>+Q9</f>
        <v>0</v>
      </c>
      <c r="O9" s="98">
        <f>+M9</f>
        <v>0</v>
      </c>
      <c r="P9" s="91"/>
      <c r="Q9" s="99">
        <v>0</v>
      </c>
      <c r="R9" s="97"/>
      <c r="AA9" s="12" t="s">
        <v>64</v>
      </c>
      <c r="AB9" s="98">
        <f>+AF9</f>
        <v>-2553129.0299999998</v>
      </c>
      <c r="AC9" s="98">
        <f>+AF9</f>
        <v>-2553129.0299999998</v>
      </c>
      <c r="AD9" s="98">
        <f>+AB9</f>
        <v>-2553129.0299999998</v>
      </c>
      <c r="AE9" s="90"/>
      <c r="AF9" s="98">
        <f>+F9-Q9</f>
        <v>-2553129.0299999998</v>
      </c>
    </row>
    <row r="10" spans="1:35">
      <c r="A10" s="14" t="s">
        <v>49</v>
      </c>
      <c r="B10" s="91">
        <f>+B8+B9</f>
        <v>199227092.09</v>
      </c>
      <c r="C10" s="91">
        <f>+C8+C9</f>
        <v>199227092.09</v>
      </c>
      <c r="D10" s="91">
        <f>+D8+D9</f>
        <v>199227092.09</v>
      </c>
      <c r="E10" s="90"/>
      <c r="F10" s="91">
        <f>+F8+F9</f>
        <v>199227092.09</v>
      </c>
      <c r="G10" s="96"/>
      <c r="H10" s="97"/>
      <c r="I10" s="35"/>
      <c r="J10" s="35"/>
      <c r="L10" s="14" t="s">
        <v>49</v>
      </c>
      <c r="M10" s="91">
        <f>+M8+M9</f>
        <v>4317712.4800000004</v>
      </c>
      <c r="N10" s="91">
        <f>+N8+N9</f>
        <v>4317712.4800000004</v>
      </c>
      <c r="O10" s="91">
        <f>+O8+O9</f>
        <v>4317712.4800000004</v>
      </c>
      <c r="P10" s="91"/>
      <c r="Q10" s="91">
        <f>+Q8+Q9</f>
        <v>4317712.4800000004</v>
      </c>
      <c r="R10" s="97"/>
      <c r="AA10" s="14" t="s">
        <v>49</v>
      </c>
      <c r="AB10" s="91">
        <f>+AB8+AB9</f>
        <v>194909379.61000001</v>
      </c>
      <c r="AC10" s="91">
        <f>+AC8+AC9</f>
        <v>194909379.61000001</v>
      </c>
      <c r="AD10" s="91">
        <f>+AD8+AD9</f>
        <v>194909379.61000001</v>
      </c>
      <c r="AE10" s="90"/>
      <c r="AF10" s="91">
        <f>+AF8+AF9</f>
        <v>194909379.61000001</v>
      </c>
    </row>
    <row r="11" spans="1:35">
      <c r="A11" s="11"/>
      <c r="B11" s="91"/>
      <c r="C11" s="91"/>
      <c r="D11" s="91"/>
      <c r="E11" s="90"/>
      <c r="F11" s="96"/>
      <c r="G11" s="96"/>
      <c r="H11" s="97"/>
      <c r="I11" s="35"/>
      <c r="J11" s="35"/>
      <c r="L11" s="11"/>
      <c r="M11" s="91"/>
      <c r="N11" s="91"/>
      <c r="O11" s="91"/>
      <c r="P11" s="91"/>
      <c r="Q11" s="96"/>
      <c r="R11" s="97"/>
      <c r="AA11" s="11"/>
      <c r="AB11" s="91"/>
      <c r="AC11" s="91"/>
      <c r="AD11" s="91"/>
      <c r="AE11" s="90"/>
      <c r="AF11" s="96"/>
    </row>
    <row r="12" spans="1:35">
      <c r="A12" s="16" t="s">
        <v>14</v>
      </c>
      <c r="B12" s="91"/>
      <c r="C12" s="90"/>
      <c r="D12" s="90"/>
      <c r="E12" s="90"/>
      <c r="H12" s="100"/>
      <c r="I12" s="100"/>
      <c r="J12" s="35"/>
      <c r="K12" s="35"/>
      <c r="L12" s="16" t="s">
        <v>14</v>
      </c>
      <c r="M12" s="91"/>
      <c r="N12" s="91"/>
      <c r="O12" s="91"/>
      <c r="P12" s="91"/>
      <c r="Q12" s="91"/>
      <c r="AA12" s="16" t="s">
        <v>14</v>
      </c>
      <c r="AB12" s="91"/>
      <c r="AC12" s="90"/>
      <c r="AD12" s="90"/>
      <c r="AE12" s="90"/>
      <c r="AF12" s="91"/>
    </row>
    <row r="13" spans="1:35">
      <c r="A13" s="5" t="s">
        <v>15</v>
      </c>
      <c r="B13" s="90"/>
      <c r="C13" s="90"/>
      <c r="D13" s="90"/>
      <c r="E13" s="90"/>
      <c r="H13" s="35"/>
      <c r="I13" s="101" t="s">
        <v>58</v>
      </c>
      <c r="J13" s="102" t="s">
        <v>99</v>
      </c>
      <c r="L13" s="5" t="s">
        <v>15</v>
      </c>
      <c r="M13" s="91"/>
      <c r="N13" s="91"/>
      <c r="O13" s="91"/>
      <c r="P13" s="91"/>
      <c r="Q13" s="91"/>
      <c r="R13" s="35"/>
      <c r="AA13" s="5" t="s">
        <v>15</v>
      </c>
      <c r="AB13" s="90"/>
      <c r="AC13" s="90"/>
      <c r="AD13" s="90"/>
      <c r="AE13" s="90"/>
      <c r="AF13" s="91"/>
    </row>
    <row r="14" spans="1:35">
      <c r="A14" s="5" t="s">
        <v>16</v>
      </c>
      <c r="B14" s="91">
        <f>+F14</f>
        <v>1956327.2</v>
      </c>
      <c r="C14" s="91">
        <f>+F14</f>
        <v>1956327.2</v>
      </c>
      <c r="D14" s="91">
        <f>+F14</f>
        <v>1956327.2</v>
      </c>
      <c r="E14" s="91"/>
      <c r="F14" s="91">
        <f>+((9554.9+1946772.3)/12*12)</f>
        <v>1956327.2</v>
      </c>
      <c r="G14" s="103"/>
      <c r="H14" s="31" t="s">
        <v>4</v>
      </c>
      <c r="I14" s="91">
        <v>9554.9</v>
      </c>
      <c r="J14" s="91">
        <v>10947.12</v>
      </c>
      <c r="K14" s="5"/>
      <c r="L14" s="5" t="s">
        <v>16</v>
      </c>
      <c r="M14" s="91">
        <f>+Q14</f>
        <v>0</v>
      </c>
      <c r="N14" s="91">
        <f>+Q14</f>
        <v>0</v>
      </c>
      <c r="O14" s="91">
        <f>+Q14</f>
        <v>0</v>
      </c>
      <c r="P14" s="91"/>
      <c r="Q14" s="104">
        <v>0</v>
      </c>
      <c r="R14" s="31" t="s">
        <v>4</v>
      </c>
      <c r="AA14" s="5" t="s">
        <v>16</v>
      </c>
      <c r="AB14" s="91">
        <f>+AF14</f>
        <v>1956327.2</v>
      </c>
      <c r="AC14" s="91">
        <f>+AF14</f>
        <v>1956327.2</v>
      </c>
      <c r="AD14" s="91">
        <f>+AF14</f>
        <v>1956327.2</v>
      </c>
      <c r="AE14" s="91"/>
      <c r="AF14" s="91">
        <f t="shared" ref="AF14:AF19" si="0">+F14-Q14</f>
        <v>1956327.2</v>
      </c>
      <c r="AG14" s="31" t="s">
        <v>4</v>
      </c>
      <c r="AI14" s="100">
        <v>33870.720000000001</v>
      </c>
    </row>
    <row r="15" spans="1:35">
      <c r="A15" s="11" t="s">
        <v>1</v>
      </c>
      <c r="B15" s="96">
        <f>+((10947.12+1924870.77)-(9554.9+1946772.3))/12*12</f>
        <v>-20509.309999999823</v>
      </c>
      <c r="C15" s="91">
        <f>+B15</f>
        <v>-20509.309999999823</v>
      </c>
      <c r="D15" s="91">
        <f>+B15</f>
        <v>-20509.309999999823</v>
      </c>
      <c r="E15" s="103"/>
      <c r="F15" s="91">
        <v>0</v>
      </c>
      <c r="H15" s="38" t="s">
        <v>111</v>
      </c>
      <c r="I15" s="91">
        <v>1946772.3</v>
      </c>
      <c r="J15" s="91">
        <v>1924870.77</v>
      </c>
      <c r="K15" s="5"/>
      <c r="L15" s="11" t="s">
        <v>1</v>
      </c>
      <c r="M15" s="96">
        <v>0</v>
      </c>
      <c r="N15" s="91">
        <f>+M15</f>
        <v>0</v>
      </c>
      <c r="O15" s="91">
        <f>+M15</f>
        <v>0</v>
      </c>
      <c r="P15" s="91"/>
      <c r="Q15" s="96">
        <v>0</v>
      </c>
      <c r="R15" s="31"/>
      <c r="AA15" s="11" t="s">
        <v>1</v>
      </c>
      <c r="AB15" s="91">
        <f>+B15</f>
        <v>-20509.309999999823</v>
      </c>
      <c r="AC15" s="91">
        <f>+AB15</f>
        <v>-20509.309999999823</v>
      </c>
      <c r="AD15" s="91">
        <f>+AB15</f>
        <v>-20509.309999999823</v>
      </c>
      <c r="AE15" s="91"/>
      <c r="AF15" s="91">
        <f t="shared" si="0"/>
        <v>0</v>
      </c>
      <c r="AG15" s="31"/>
      <c r="AI15" s="100">
        <v>9554.9</v>
      </c>
    </row>
    <row r="16" spans="1:35">
      <c r="A16" s="5" t="s">
        <v>17</v>
      </c>
      <c r="B16" s="91">
        <f>+F16</f>
        <v>258617.4</v>
      </c>
      <c r="C16" s="91">
        <f>+F16</f>
        <v>258617.4</v>
      </c>
      <c r="D16" s="91">
        <f>+F16</f>
        <v>258617.4</v>
      </c>
      <c r="E16" s="90"/>
      <c r="F16" s="91">
        <v>258617.4</v>
      </c>
      <c r="H16" s="25" t="s">
        <v>5</v>
      </c>
      <c r="I16" s="21"/>
      <c r="J16" s="91">
        <f>+J14+J15-I14-I15</f>
        <v>-20509.309999999823</v>
      </c>
      <c r="K16" s="5"/>
      <c r="L16" s="5" t="s">
        <v>17</v>
      </c>
      <c r="M16" s="91">
        <f>+Q16</f>
        <v>4100.75</v>
      </c>
      <c r="N16" s="91">
        <f>+Q16</f>
        <v>4100.75</v>
      </c>
      <c r="O16" s="91">
        <f>+Q16</f>
        <v>4100.75</v>
      </c>
      <c r="P16" s="91"/>
      <c r="Q16" s="96">
        <v>4100.75</v>
      </c>
      <c r="R16" s="25" t="s">
        <v>5</v>
      </c>
      <c r="AA16" s="5" t="s">
        <v>17</v>
      </c>
      <c r="AB16" s="91">
        <f>+AF16</f>
        <v>254516.65</v>
      </c>
      <c r="AC16" s="91">
        <f>+AF16</f>
        <v>254516.65</v>
      </c>
      <c r="AD16" s="91">
        <f>+AF16</f>
        <v>254516.65</v>
      </c>
      <c r="AE16" s="90"/>
      <c r="AF16" s="91">
        <f t="shared" si="0"/>
        <v>254516.65</v>
      </c>
      <c r="AG16" s="25" t="s">
        <v>5</v>
      </c>
      <c r="AI16" s="100">
        <v>-5350041.1500000004</v>
      </c>
    </row>
    <row r="17" spans="1:35">
      <c r="A17" s="11" t="s">
        <v>74</v>
      </c>
      <c r="B17" s="91">
        <f>+F17</f>
        <v>72000</v>
      </c>
      <c r="C17" s="91">
        <f>+F17</f>
        <v>72000</v>
      </c>
      <c r="D17" s="91">
        <f>+F17</f>
        <v>72000</v>
      </c>
      <c r="E17" s="90"/>
      <c r="F17" s="91">
        <f>(72000/12)*12</f>
        <v>72000</v>
      </c>
      <c r="G17" s="96"/>
      <c r="H17" s="31" t="s">
        <v>75</v>
      </c>
      <c r="I17" s="5"/>
      <c r="J17" s="5"/>
      <c r="K17" s="21"/>
      <c r="L17" s="5" t="str">
        <f>+A17</f>
        <v>SYSTEM AIRCRAFT AND CLUB DUES</v>
      </c>
      <c r="M17" s="91">
        <f>+Q17</f>
        <v>0</v>
      </c>
      <c r="N17" s="91">
        <f>+Q17</f>
        <v>0</v>
      </c>
      <c r="O17" s="91">
        <f>+Q17</f>
        <v>0</v>
      </c>
      <c r="P17" s="91"/>
      <c r="Q17" s="91">
        <v>0</v>
      </c>
      <c r="R17" s="25" t="s">
        <v>3</v>
      </c>
      <c r="AA17" s="11" t="s">
        <v>74</v>
      </c>
      <c r="AB17" s="91">
        <f>+AF17</f>
        <v>72000</v>
      </c>
      <c r="AC17" s="91">
        <f>+AF17</f>
        <v>72000</v>
      </c>
      <c r="AD17" s="91">
        <f>+AF17</f>
        <v>72000</v>
      </c>
      <c r="AE17" s="90"/>
      <c r="AF17" s="91">
        <f t="shared" si="0"/>
        <v>72000</v>
      </c>
      <c r="AG17" s="25" t="s">
        <v>3</v>
      </c>
      <c r="AI17" s="100">
        <v>50126.73</v>
      </c>
    </row>
    <row r="18" spans="1:35">
      <c r="A18" s="5" t="s">
        <v>50</v>
      </c>
      <c r="B18" s="91">
        <f>+F18</f>
        <v>126152.5</v>
      </c>
      <c r="C18" s="91">
        <f>+F18</f>
        <v>126152.5</v>
      </c>
      <c r="D18" s="91">
        <f>+F18</f>
        <v>126152.5</v>
      </c>
      <c r="E18" s="90"/>
      <c r="F18" s="91">
        <v>126152.5</v>
      </c>
      <c r="G18" s="96"/>
      <c r="H18" s="25" t="s">
        <v>0</v>
      </c>
      <c r="I18" s="21">
        <f>SUM([1]SOFIA!C9)</f>
        <v>126152.5</v>
      </c>
      <c r="J18" s="21"/>
      <c r="K18" s="5"/>
      <c r="L18" s="5" t="s">
        <v>50</v>
      </c>
      <c r="M18" s="91">
        <f>+Q18</f>
        <v>126152.5</v>
      </c>
      <c r="N18" s="91">
        <f>+Q18</f>
        <v>126152.5</v>
      </c>
      <c r="O18" s="91">
        <f>+Q18</f>
        <v>126152.5</v>
      </c>
      <c r="P18" s="91"/>
      <c r="Q18" s="91">
        <f>+F18</f>
        <v>126152.5</v>
      </c>
      <c r="R18" s="25" t="s">
        <v>0</v>
      </c>
      <c r="AA18" s="5" t="s">
        <v>50</v>
      </c>
      <c r="AB18" s="91">
        <f>+AF18</f>
        <v>0</v>
      </c>
      <c r="AC18" s="91">
        <f>+AF18</f>
        <v>0</v>
      </c>
      <c r="AD18" s="91">
        <f>+AF18</f>
        <v>0</v>
      </c>
      <c r="AE18" s="90"/>
      <c r="AF18" s="91">
        <f t="shared" si="0"/>
        <v>0</v>
      </c>
      <c r="AG18" s="25" t="s">
        <v>0</v>
      </c>
      <c r="AI18" s="100">
        <v>7212816.3499999996</v>
      </c>
    </row>
    <row r="19" spans="1:35">
      <c r="A19" s="5" t="s">
        <v>92</v>
      </c>
      <c r="B19" s="98">
        <f>+F19</f>
        <v>710700</v>
      </c>
      <c r="C19" s="98">
        <f>+F19</f>
        <v>710700</v>
      </c>
      <c r="D19" s="98">
        <f>+F19</f>
        <v>710700</v>
      </c>
      <c r="E19" s="90"/>
      <c r="F19" s="98">
        <f>(710700/12)*12</f>
        <v>710700</v>
      </c>
      <c r="G19" s="96"/>
      <c r="H19" s="25" t="s">
        <v>3</v>
      </c>
      <c r="I19" s="5"/>
      <c r="J19" s="5"/>
      <c r="K19" s="5"/>
      <c r="L19" s="5" t="s">
        <v>18</v>
      </c>
      <c r="M19" s="98">
        <f>+Q19</f>
        <v>710700</v>
      </c>
      <c r="N19" s="98">
        <f>+Q19</f>
        <v>710700</v>
      </c>
      <c r="O19" s="98">
        <f>+Q19</f>
        <v>710700</v>
      </c>
      <c r="P19" s="91"/>
      <c r="Q19" s="98">
        <f>+F19</f>
        <v>710700</v>
      </c>
      <c r="R19" s="25" t="s">
        <v>3</v>
      </c>
      <c r="AA19" s="5" t="s">
        <v>92</v>
      </c>
      <c r="AB19" s="98">
        <f>+AF19</f>
        <v>0</v>
      </c>
      <c r="AC19" s="98">
        <f>+AF19</f>
        <v>0</v>
      </c>
      <c r="AD19" s="98">
        <f>+AF19</f>
        <v>0</v>
      </c>
      <c r="AE19" s="90"/>
      <c r="AF19" s="98">
        <f t="shared" si="0"/>
        <v>0</v>
      </c>
      <c r="AG19" s="25" t="s">
        <v>3</v>
      </c>
      <c r="AI19" s="105">
        <f>SUM(AI14:AI18)</f>
        <v>1956327.5499999998</v>
      </c>
    </row>
    <row r="20" spans="1:35">
      <c r="A20" s="5" t="s">
        <v>19</v>
      </c>
      <c r="B20" s="91">
        <f>SUM(B14:B19)</f>
        <v>3103287.79</v>
      </c>
      <c r="C20" s="91">
        <f>SUM(C14:C19)</f>
        <v>3103287.79</v>
      </c>
      <c r="D20" s="91">
        <f>SUM(D14:D19)</f>
        <v>3103287.79</v>
      </c>
      <c r="E20" s="90"/>
      <c r="F20" s="91">
        <f>SUM(F13:F19)</f>
        <v>3123797.1</v>
      </c>
      <c r="H20" s="35">
        <f>+F20+F28</f>
        <v>-6636496.9000000004</v>
      </c>
      <c r="I20" s="5"/>
      <c r="J20" s="5"/>
      <c r="K20" s="5"/>
      <c r="L20" s="5" t="s">
        <v>19</v>
      </c>
      <c r="M20" s="91">
        <f>SUM(M14:M19)</f>
        <v>840953.25</v>
      </c>
      <c r="N20" s="91">
        <f>SUM(N14:N19)</f>
        <v>840953.25</v>
      </c>
      <c r="O20" s="91">
        <f>SUM(O14:O19)</f>
        <v>840953.25</v>
      </c>
      <c r="P20" s="91"/>
      <c r="Q20" s="91">
        <f>SUM(Q13:Q19)</f>
        <v>840953.25</v>
      </c>
      <c r="R20" s="35">
        <f>+Q20+Q28</f>
        <v>-6371863.0999999996</v>
      </c>
      <c r="S20" s="35"/>
      <c r="AA20" s="5" t="s">
        <v>19</v>
      </c>
      <c r="AB20" s="91">
        <f>SUM(AB14:AB19)</f>
        <v>2262334.54</v>
      </c>
      <c r="AC20" s="91">
        <f>SUM(AC14:AC19)</f>
        <v>2262334.54</v>
      </c>
      <c r="AD20" s="91">
        <f>SUM(AD14:AD19)</f>
        <v>2262334.54</v>
      </c>
      <c r="AE20" s="90"/>
      <c r="AF20" s="91">
        <f>SUM(AF13:AF19)</f>
        <v>2282843.85</v>
      </c>
      <c r="AG20" s="35">
        <f>+AF20+AF28</f>
        <v>-264633.80000000028</v>
      </c>
    </row>
    <row r="21" spans="1:35">
      <c r="A21" s="5"/>
      <c r="B21" s="90"/>
      <c r="C21" s="90"/>
      <c r="D21" s="90"/>
      <c r="E21" s="90"/>
      <c r="H21" s="46">
        <f>163791.9-6800288.8</f>
        <v>-6636496.8999999994</v>
      </c>
      <c r="I21" s="5"/>
      <c r="J21" s="21"/>
      <c r="K21" s="5"/>
      <c r="L21" s="5"/>
      <c r="M21" s="91"/>
      <c r="N21" s="91"/>
      <c r="O21" s="91"/>
      <c r="P21" s="91"/>
      <c r="Q21" s="91"/>
      <c r="R21" s="106">
        <f>840953.25-7212816.35</f>
        <v>-6371863.0999999996</v>
      </c>
      <c r="AA21" s="5"/>
      <c r="AB21" s="90"/>
      <c r="AC21" s="90"/>
      <c r="AD21" s="90"/>
      <c r="AE21" s="90"/>
      <c r="AF21" s="91"/>
      <c r="AG21" s="106">
        <f>-677161.35+412527.55</f>
        <v>-264633.8</v>
      </c>
    </row>
    <row r="22" spans="1:35">
      <c r="A22" s="16" t="s">
        <v>20</v>
      </c>
      <c r="B22" s="90"/>
      <c r="C22" s="90"/>
      <c r="D22" s="90"/>
      <c r="E22" s="90"/>
      <c r="H22" s="35">
        <f>H21-H20</f>
        <v>0</v>
      </c>
      <c r="I22" s="5"/>
      <c r="J22" s="5"/>
      <c r="K22" s="5"/>
      <c r="L22" s="16" t="s">
        <v>20</v>
      </c>
      <c r="M22" s="91"/>
      <c r="N22" s="91"/>
      <c r="O22" s="91"/>
      <c r="P22" s="91"/>
      <c r="Q22" s="91"/>
      <c r="R22" s="35">
        <f>R20-R21</f>
        <v>0</v>
      </c>
      <c r="AA22" s="16" t="s">
        <v>20</v>
      </c>
      <c r="AB22" s="90"/>
      <c r="AC22" s="90"/>
      <c r="AD22" s="90"/>
      <c r="AE22" s="90"/>
      <c r="AF22" s="91"/>
      <c r="AG22" s="35">
        <f>AG20-AG21</f>
        <v>0</v>
      </c>
    </row>
    <row r="23" spans="1:35">
      <c r="A23" s="5" t="s">
        <v>21</v>
      </c>
      <c r="B23" s="91">
        <f>+F23</f>
        <v>-1543800</v>
      </c>
      <c r="C23" s="91">
        <f>+F23</f>
        <v>-1543800</v>
      </c>
      <c r="D23" s="91">
        <f>+F23</f>
        <v>-1543800</v>
      </c>
      <c r="E23" s="90"/>
      <c r="F23" s="91">
        <f>-128650*12</f>
        <v>-1543800</v>
      </c>
      <c r="G23" s="104"/>
      <c r="H23" s="37" t="s">
        <v>6</v>
      </c>
      <c r="I23" s="21">
        <f>SUM([1]SOFIA!C2,[1]SOFIA!C3,[1]SOFIA!C4,[1]SOFIA!C5)</f>
        <v>-1543800</v>
      </c>
      <c r="J23" s="21"/>
      <c r="K23" s="5"/>
      <c r="L23" s="5" t="s">
        <v>21</v>
      </c>
      <c r="M23" s="91">
        <f>+Q23</f>
        <v>0</v>
      </c>
      <c r="N23" s="91">
        <f>+Q23</f>
        <v>0</v>
      </c>
      <c r="O23" s="91">
        <f>+Q23</f>
        <v>0</v>
      </c>
      <c r="P23" s="91"/>
      <c r="Q23" s="104">
        <v>0</v>
      </c>
      <c r="R23" s="37" t="s">
        <v>6</v>
      </c>
      <c r="AA23" s="5" t="s">
        <v>21</v>
      </c>
      <c r="AB23" s="91">
        <f>+AF23</f>
        <v>-1543800</v>
      </c>
      <c r="AC23" s="91">
        <f>+AF23</f>
        <v>-1543800</v>
      </c>
      <c r="AD23" s="91">
        <f>+AF23</f>
        <v>-1543800</v>
      </c>
      <c r="AE23" s="90"/>
      <c r="AF23" s="91">
        <f t="shared" ref="AF23:AF27" si="1">+F23-Q23</f>
        <v>-1543800</v>
      </c>
      <c r="AG23" s="37" t="s">
        <v>6</v>
      </c>
    </row>
    <row r="24" spans="1:35">
      <c r="A24" s="5" t="s">
        <v>22</v>
      </c>
      <c r="B24" s="91">
        <f>+F24</f>
        <v>-7212816</v>
      </c>
      <c r="C24" s="91">
        <f>+F24</f>
        <v>-7212816</v>
      </c>
      <c r="D24" s="91">
        <f>+F24</f>
        <v>-7212816</v>
      </c>
      <c r="E24" s="91"/>
      <c r="F24" s="91">
        <f>-7212816.35+0.35</f>
        <v>-7212816</v>
      </c>
      <c r="G24" s="104"/>
      <c r="H24" s="37" t="s">
        <v>55</v>
      </c>
      <c r="I24" s="21">
        <f>SUM([1]SOFIA!C7,[1]SOFIA!C8)</f>
        <v>-7212816.3499999996</v>
      </c>
      <c r="J24" s="21"/>
      <c r="K24" s="21"/>
      <c r="L24" s="5" t="s">
        <v>22</v>
      </c>
      <c r="M24" s="91">
        <f>+Q24</f>
        <v>-7212816.3499999996</v>
      </c>
      <c r="N24" s="91">
        <f>+Q24</f>
        <v>-7212816.3499999996</v>
      </c>
      <c r="O24" s="91">
        <f>+Q24</f>
        <v>-7212816.3499999996</v>
      </c>
      <c r="P24" s="91"/>
      <c r="Q24" s="91">
        <f>+F24-0.35</f>
        <v>-7212816.3499999996</v>
      </c>
      <c r="R24" s="37" t="s">
        <v>55</v>
      </c>
      <c r="AA24" s="5" t="s">
        <v>22</v>
      </c>
      <c r="AB24" s="91">
        <f>+AF24</f>
        <v>0.34999999962747097</v>
      </c>
      <c r="AC24" s="91">
        <f>+AF24</f>
        <v>0.34999999962747097</v>
      </c>
      <c r="AD24" s="91">
        <f>+AF24</f>
        <v>0.34999999962747097</v>
      </c>
      <c r="AE24" s="91"/>
      <c r="AF24" s="91">
        <f>+F24-Q24</f>
        <v>0.34999999962747097</v>
      </c>
      <c r="AG24" s="37" t="s">
        <v>55</v>
      </c>
    </row>
    <row r="25" spans="1:35">
      <c r="A25" s="5" t="s">
        <v>23</v>
      </c>
      <c r="B25" s="91">
        <f>+F25</f>
        <v>-1003678</v>
      </c>
      <c r="C25" s="91">
        <f>+F25</f>
        <v>-1003678</v>
      </c>
      <c r="D25" s="91">
        <f>+F25</f>
        <v>-1003678</v>
      </c>
      <c r="E25" s="90"/>
      <c r="F25" s="91">
        <f>-ROUND((1003678/12*12),2)-ROUND((234348.45/9*0),2)</f>
        <v>-1003678</v>
      </c>
      <c r="G25" s="96"/>
      <c r="H25" s="38" t="s">
        <v>98</v>
      </c>
      <c r="I25" s="21">
        <f>SUM([1]SOFIA!C10:C11)</f>
        <v>-1003678</v>
      </c>
      <c r="J25" s="21"/>
      <c r="K25" s="5"/>
      <c r="L25" s="5" t="s">
        <v>23</v>
      </c>
      <c r="M25" s="91">
        <f>+Q25</f>
        <v>0</v>
      </c>
      <c r="N25" s="91">
        <f>+Q25</f>
        <v>0</v>
      </c>
      <c r="O25" s="91">
        <f>+Q25</f>
        <v>0</v>
      </c>
      <c r="P25" s="91"/>
      <c r="Q25" s="96">
        <v>0</v>
      </c>
      <c r="R25" s="38">
        <v>92600211</v>
      </c>
      <c r="AA25" s="5" t="s">
        <v>23</v>
      </c>
      <c r="AB25" s="91">
        <f>+AF25</f>
        <v>-1003678</v>
      </c>
      <c r="AC25" s="91">
        <f>+AF25</f>
        <v>-1003678</v>
      </c>
      <c r="AD25" s="91">
        <f>+AF25</f>
        <v>-1003678</v>
      </c>
      <c r="AE25" s="90"/>
      <c r="AF25" s="91">
        <f t="shared" si="1"/>
        <v>-1003678</v>
      </c>
      <c r="AG25" s="38">
        <v>92600211</v>
      </c>
    </row>
    <row r="26" spans="1:35">
      <c r="A26" s="5" t="s">
        <v>27</v>
      </c>
      <c r="B26" s="91">
        <v>0</v>
      </c>
      <c r="C26" s="96">
        <v>0</v>
      </c>
      <c r="D26" s="91">
        <v>0</v>
      </c>
      <c r="E26" s="90"/>
      <c r="F26" s="91">
        <v>0</v>
      </c>
      <c r="G26" s="96"/>
      <c r="H26" s="31" t="s">
        <v>76</v>
      </c>
      <c r="I26" s="21">
        <f>SUM([1]SOFIA!C6)</f>
        <v>0</v>
      </c>
      <c r="J26" s="21"/>
      <c r="K26" s="5"/>
      <c r="L26" s="5" t="s">
        <v>27</v>
      </c>
      <c r="M26" s="91">
        <v>0</v>
      </c>
      <c r="N26" s="96">
        <v>0</v>
      </c>
      <c r="O26" s="91">
        <v>0</v>
      </c>
      <c r="P26" s="91"/>
      <c r="Q26" s="91">
        <f>+F26</f>
        <v>0</v>
      </c>
      <c r="R26" s="38">
        <v>41900012</v>
      </c>
      <c r="AA26" s="5" t="s">
        <v>27</v>
      </c>
      <c r="AB26" s="91">
        <v>0</v>
      </c>
      <c r="AC26" s="96">
        <v>0</v>
      </c>
      <c r="AD26" s="91">
        <v>0</v>
      </c>
      <c r="AE26" s="90"/>
      <c r="AF26" s="91">
        <f t="shared" si="1"/>
        <v>0</v>
      </c>
      <c r="AG26" s="38">
        <v>41900012</v>
      </c>
    </row>
    <row r="27" spans="1:35">
      <c r="A27" s="5" t="s">
        <v>24</v>
      </c>
      <c r="B27" s="98">
        <f>+F27</f>
        <v>0</v>
      </c>
      <c r="C27" s="98">
        <v>0</v>
      </c>
      <c r="D27" s="98">
        <v>0</v>
      </c>
      <c r="E27" s="90"/>
      <c r="F27" s="98">
        <f>-ROUND((((0)/12)*12),2)</f>
        <v>0</v>
      </c>
      <c r="G27" s="96"/>
      <c r="H27" s="25" t="s">
        <v>3</v>
      </c>
      <c r="I27" s="5"/>
      <c r="J27" s="5"/>
      <c r="K27" s="5"/>
      <c r="L27" s="5" t="s">
        <v>24</v>
      </c>
      <c r="M27" s="98">
        <f>+Q27</f>
        <v>0</v>
      </c>
      <c r="N27" s="98">
        <v>0</v>
      </c>
      <c r="O27" s="98">
        <v>0</v>
      </c>
      <c r="P27" s="91"/>
      <c r="Q27" s="99">
        <v>0</v>
      </c>
      <c r="R27" s="25" t="s">
        <v>3</v>
      </c>
      <c r="AA27" s="5" t="s">
        <v>24</v>
      </c>
      <c r="AB27" s="98">
        <f>+AF27</f>
        <v>0</v>
      </c>
      <c r="AC27" s="98">
        <v>0</v>
      </c>
      <c r="AD27" s="98">
        <v>0</v>
      </c>
      <c r="AE27" s="90"/>
      <c r="AF27" s="98">
        <f t="shared" si="1"/>
        <v>0</v>
      </c>
      <c r="AG27" s="25" t="s">
        <v>3</v>
      </c>
    </row>
    <row r="28" spans="1:35">
      <c r="A28" s="5" t="s">
        <v>19</v>
      </c>
      <c r="B28" s="91">
        <f>SUM(B23:B27)</f>
        <v>-9760294</v>
      </c>
      <c r="C28" s="91">
        <f>SUM(C23:C27)</f>
        <v>-9760294</v>
      </c>
      <c r="D28" s="91">
        <f>SUM(D23:D27)</f>
        <v>-9760294</v>
      </c>
      <c r="E28" s="90"/>
      <c r="F28" s="91">
        <f>SUM(F23:F27)</f>
        <v>-9760294</v>
      </c>
      <c r="H28" s="35"/>
      <c r="I28" s="5"/>
      <c r="J28" s="49"/>
      <c r="K28" s="107"/>
      <c r="L28" s="5" t="s">
        <v>19</v>
      </c>
      <c r="M28" s="91">
        <f>SUM(M23:M27)</f>
        <v>-7212816.3499999996</v>
      </c>
      <c r="N28" s="91">
        <f>SUM(N23:N27)</f>
        <v>-7212816.3499999996</v>
      </c>
      <c r="O28" s="91">
        <f>SUM(O23:O27)</f>
        <v>-7212816.3499999996</v>
      </c>
      <c r="P28" s="91"/>
      <c r="Q28" s="91">
        <f>SUM(Q23:Q27)</f>
        <v>-7212816.3499999996</v>
      </c>
      <c r="R28" s="35"/>
      <c r="AA28" s="5" t="s">
        <v>19</v>
      </c>
      <c r="AB28" s="91">
        <f>SUM(AB23:AB27)</f>
        <v>-2547477.6500000004</v>
      </c>
      <c r="AC28" s="91">
        <f>SUM(AC23:AC27)</f>
        <v>-2547477.6500000004</v>
      </c>
      <c r="AD28" s="91">
        <f>SUM(AD23:AD27)</f>
        <v>-2547477.6500000004</v>
      </c>
      <c r="AE28" s="90"/>
      <c r="AF28" s="91">
        <f>SUM(AF23:AF27)</f>
        <v>-2547477.6500000004</v>
      </c>
      <c r="AG28" s="35"/>
    </row>
    <row r="29" spans="1:35">
      <c r="A29" s="5"/>
      <c r="B29" s="91"/>
      <c r="C29" s="91"/>
      <c r="D29" s="91"/>
      <c r="E29" s="90"/>
      <c r="I29" s="5"/>
      <c r="J29" s="91"/>
      <c r="K29" s="91"/>
      <c r="L29" s="5"/>
      <c r="M29" s="91"/>
      <c r="N29" s="91"/>
      <c r="O29" s="91"/>
      <c r="P29" s="91"/>
      <c r="Q29" s="91"/>
      <c r="AA29" s="5"/>
      <c r="AB29" s="91"/>
      <c r="AC29" s="91"/>
      <c r="AD29" s="91"/>
      <c r="AE29" s="90"/>
      <c r="AF29" s="91"/>
    </row>
    <row r="30" spans="1:35">
      <c r="A30" s="16" t="s">
        <v>36</v>
      </c>
      <c r="B30" s="96"/>
      <c r="C30" s="90"/>
      <c r="D30" s="90"/>
      <c r="E30" s="90"/>
      <c r="I30" s="5"/>
      <c r="J30" s="91"/>
      <c r="K30" s="91"/>
      <c r="L30" s="16" t="s">
        <v>36</v>
      </c>
      <c r="M30" s="91"/>
      <c r="N30" s="91"/>
      <c r="O30" s="91"/>
      <c r="P30" s="91"/>
      <c r="Q30" s="91"/>
      <c r="AA30" s="16" t="s">
        <v>36</v>
      </c>
      <c r="AB30" s="96"/>
      <c r="AC30" s="90"/>
      <c r="AD30" s="90"/>
      <c r="AE30" s="90"/>
      <c r="AF30" s="91"/>
    </row>
    <row r="31" spans="1:35">
      <c r="A31" s="5" t="s">
        <v>48</v>
      </c>
      <c r="B31" s="96">
        <f>-217673730.96-324281.28+103848674.09</f>
        <v>-114149338.15000001</v>
      </c>
      <c r="C31" s="91">
        <f>+B31</f>
        <v>-114149338.15000001</v>
      </c>
      <c r="D31" s="91">
        <f>+B31</f>
        <v>-114149338.15000001</v>
      </c>
      <c r="E31" s="108"/>
      <c r="F31" s="91">
        <v>-217673730.96000001</v>
      </c>
      <c r="H31" s="25" t="s">
        <v>4</v>
      </c>
      <c r="I31" s="91"/>
      <c r="J31" s="91">
        <v>-19262062.25</v>
      </c>
      <c r="K31" s="91"/>
      <c r="L31" s="5" t="s">
        <v>48</v>
      </c>
      <c r="M31" s="91">
        <f>+Q31</f>
        <v>0</v>
      </c>
      <c r="N31" s="91">
        <f>+Q31</f>
        <v>0</v>
      </c>
      <c r="O31" s="91">
        <f>+Q31</f>
        <v>0</v>
      </c>
      <c r="P31" s="91"/>
      <c r="Q31" s="96">
        <v>0</v>
      </c>
      <c r="R31" s="25" t="s">
        <v>4</v>
      </c>
      <c r="AA31" s="5" t="s">
        <v>48</v>
      </c>
      <c r="AB31" s="96">
        <f>+B31</f>
        <v>-114149338.15000001</v>
      </c>
      <c r="AC31" s="91">
        <f>+AB31</f>
        <v>-114149338.15000001</v>
      </c>
      <c r="AD31" s="91">
        <f>+AB31</f>
        <v>-114149338.15000001</v>
      </c>
      <c r="AE31" s="108"/>
      <c r="AF31" s="91">
        <f t="shared" ref="AF31:AF33" si="2">+F31-Q31</f>
        <v>-217673730.96000001</v>
      </c>
      <c r="AG31" s="25" t="s">
        <v>4</v>
      </c>
    </row>
    <row r="32" spans="1:35">
      <c r="A32" s="11" t="s">
        <v>2</v>
      </c>
      <c r="B32" s="91"/>
      <c r="C32" s="91"/>
      <c r="D32" s="91"/>
      <c r="H32" s="25" t="s">
        <v>4</v>
      </c>
      <c r="I32" s="5"/>
      <c r="J32" s="91">
        <v>19055045.43</v>
      </c>
      <c r="K32" s="91"/>
      <c r="L32" s="11" t="s">
        <v>2</v>
      </c>
      <c r="M32" s="110">
        <v>0</v>
      </c>
      <c r="N32" s="91"/>
      <c r="O32" s="91">
        <f>+N32</f>
        <v>0</v>
      </c>
      <c r="P32" s="91"/>
      <c r="Q32" s="91"/>
      <c r="R32" s="25" t="s">
        <v>4</v>
      </c>
      <c r="AA32" s="11" t="s">
        <v>2</v>
      </c>
      <c r="AB32" s="91"/>
      <c r="AC32" s="91"/>
      <c r="AD32" s="91"/>
      <c r="AE32" s="109"/>
      <c r="AF32" s="91">
        <f t="shared" si="2"/>
        <v>0</v>
      </c>
      <c r="AG32" s="25" t="s">
        <v>4</v>
      </c>
    </row>
    <row r="33" spans="1:33">
      <c r="A33" s="5" t="s">
        <v>37</v>
      </c>
      <c r="B33" s="98">
        <f>+F33</f>
        <v>10447201.48</v>
      </c>
      <c r="C33" s="98">
        <f>+B33</f>
        <v>10447201.48</v>
      </c>
      <c r="D33" s="98">
        <f>+B33</f>
        <v>10447201.48</v>
      </c>
      <c r="E33" s="90"/>
      <c r="F33" s="98">
        <v>10447201.48</v>
      </c>
      <c r="H33" s="25" t="s">
        <v>7</v>
      </c>
      <c r="I33" s="5"/>
      <c r="J33" s="91">
        <v>179317045.47999999</v>
      </c>
      <c r="K33" s="91"/>
      <c r="L33" s="5" t="s">
        <v>37</v>
      </c>
      <c r="M33" s="98">
        <f>+Q33</f>
        <v>7731.19</v>
      </c>
      <c r="N33" s="98">
        <f>+Q33</f>
        <v>7731.19</v>
      </c>
      <c r="O33" s="98">
        <f>+Q33</f>
        <v>7731.19</v>
      </c>
      <c r="P33" s="91"/>
      <c r="Q33" s="99">
        <v>7731.19</v>
      </c>
      <c r="R33" s="25" t="s">
        <v>7</v>
      </c>
      <c r="AA33" s="5" t="s">
        <v>37</v>
      </c>
      <c r="AB33" s="98">
        <f>+AF33</f>
        <v>10439470.290000001</v>
      </c>
      <c r="AC33" s="98">
        <f>+AB33</f>
        <v>10439470.290000001</v>
      </c>
      <c r="AD33" s="98">
        <f>+AB33</f>
        <v>10439470.290000001</v>
      </c>
      <c r="AE33" s="90"/>
      <c r="AF33" s="98">
        <f t="shared" si="2"/>
        <v>10439470.290000001</v>
      </c>
      <c r="AG33" s="25" t="s">
        <v>7</v>
      </c>
    </row>
    <row r="34" spans="1:33">
      <c r="A34" s="5" t="s">
        <v>38</v>
      </c>
      <c r="B34" s="91">
        <f>SUM(B31:B33)</f>
        <v>-103702136.67</v>
      </c>
      <c r="C34" s="91">
        <f>SUM(C31:C33)</f>
        <v>-103702136.67</v>
      </c>
      <c r="D34" s="91">
        <f>SUM(D31:D33)</f>
        <v>-103702136.67</v>
      </c>
      <c r="E34" s="90"/>
      <c r="F34" s="91">
        <f>SUM(F31:F33)</f>
        <v>-207226529.48000002</v>
      </c>
      <c r="H34" s="100">
        <v>-61494363.600000001</v>
      </c>
      <c r="I34" s="21"/>
      <c r="J34" s="91">
        <v>-179434309.94</v>
      </c>
      <c r="K34" s="91"/>
      <c r="L34" s="5" t="s">
        <v>38</v>
      </c>
      <c r="M34" s="91">
        <f>SUM(M31:M33)</f>
        <v>7731.19</v>
      </c>
      <c r="N34" s="91">
        <f>SUM(N31:N33)</f>
        <v>7731.19</v>
      </c>
      <c r="O34" s="91">
        <f>SUM(O31:O33)</f>
        <v>7731.19</v>
      </c>
      <c r="P34" s="91"/>
      <c r="Q34" s="91">
        <f>SUM(Q31:Q33)</f>
        <v>7731.19</v>
      </c>
      <c r="R34" s="91"/>
      <c r="AA34" s="5" t="s">
        <v>38</v>
      </c>
      <c r="AB34" s="91">
        <f>SUM(AB31:AB33)</f>
        <v>-103709867.86</v>
      </c>
      <c r="AC34" s="91">
        <f>SUM(AC31:AC33)</f>
        <v>-103709867.86</v>
      </c>
      <c r="AD34" s="91">
        <f>SUM(AD31:AD33)</f>
        <v>-103709867.86</v>
      </c>
      <c r="AE34" s="90"/>
      <c r="AF34" s="91">
        <f>SUM(AF31:AF33)</f>
        <v>-207234260.67000002</v>
      </c>
      <c r="AG34" s="91"/>
    </row>
    <row r="35" spans="1:33">
      <c r="A35" s="91"/>
      <c r="B35" s="98"/>
      <c r="C35" s="111"/>
      <c r="D35" s="111"/>
      <c r="E35" s="90"/>
      <c r="F35" s="98"/>
      <c r="H35" s="100">
        <v>-6282514.3700000001</v>
      </c>
      <c r="I35" s="5"/>
      <c r="J35" s="105">
        <f>SUM(J31:J34)</f>
        <v>-324281.28000000119</v>
      </c>
      <c r="K35" s="91"/>
      <c r="L35" s="91"/>
      <c r="M35" s="98"/>
      <c r="N35" s="98"/>
      <c r="O35" s="98"/>
      <c r="P35" s="91"/>
      <c r="Q35" s="98"/>
      <c r="AA35" s="91"/>
      <c r="AB35" s="98"/>
      <c r="AC35" s="111"/>
      <c r="AD35" s="111"/>
      <c r="AE35" s="90"/>
      <c r="AF35" s="98"/>
    </row>
    <row r="36" spans="1:33">
      <c r="A36" s="20" t="s">
        <v>47</v>
      </c>
      <c r="B36" s="91">
        <f>+B28+B20+B34+B10</f>
        <v>88867949.210000008</v>
      </c>
      <c r="C36" s="91">
        <f>+C28+C20+C34+C10</f>
        <v>88867949.210000008</v>
      </c>
      <c r="D36" s="91">
        <f>+D28+D20+D34+D10</f>
        <v>88867949.210000008</v>
      </c>
      <c r="E36" s="90"/>
      <c r="F36" s="91">
        <f>+F28+F20+F34+F10</f>
        <v>-14635934.290000021</v>
      </c>
      <c r="H36" s="100">
        <v>-1472928.06</v>
      </c>
      <c r="I36" s="5"/>
      <c r="J36" s="91">
        <v>-14485273.960000001</v>
      </c>
      <c r="K36" s="91"/>
      <c r="L36" s="20" t="s">
        <v>47</v>
      </c>
      <c r="M36" s="91">
        <f>+M28+M20+M34+M10</f>
        <v>-2046419.4299999988</v>
      </c>
      <c r="N36" s="91">
        <f>+N28+N20+N34+N10</f>
        <v>-2046419.4299999988</v>
      </c>
      <c r="O36" s="91">
        <f>+O28+O20+O34+O10</f>
        <v>-2046419.4299999988</v>
      </c>
      <c r="P36" s="91"/>
      <c r="Q36" s="91">
        <f>+Q28+Q20+Q34+Q10</f>
        <v>-2046419.4299999988</v>
      </c>
      <c r="R36" s="100"/>
      <c r="AA36" s="20" t="s">
        <v>47</v>
      </c>
      <c r="AB36" s="91">
        <f>+AB28+AB20+AB34+AB10</f>
        <v>90914368.640000015</v>
      </c>
      <c r="AC36" s="91">
        <f>+AC28+AC20+AC34+AC10</f>
        <v>90914368.640000015</v>
      </c>
      <c r="AD36" s="91">
        <f>+AD28+AD20+AD34+AD10</f>
        <v>90914368.640000015</v>
      </c>
      <c r="AE36" s="90"/>
      <c r="AF36" s="91">
        <f>+AF28+AF20+AF34+AF10</f>
        <v>-12589514.860000014</v>
      </c>
      <c r="AG36" s="100"/>
    </row>
    <row r="37" spans="1:33">
      <c r="A37" s="21"/>
      <c r="B37" s="91"/>
      <c r="C37" s="91"/>
      <c r="D37" s="91"/>
      <c r="E37" s="90"/>
      <c r="H37" s="35">
        <f>SUM(H34:H36)</f>
        <v>-69249806.030000001</v>
      </c>
      <c r="I37" s="5"/>
      <c r="J37" s="107">
        <v>13029227.32</v>
      </c>
      <c r="K37" s="107"/>
      <c r="L37" s="21"/>
      <c r="M37" s="91"/>
      <c r="N37" s="91"/>
      <c r="O37" s="91"/>
      <c r="P37" s="91"/>
      <c r="Q37" s="91"/>
      <c r="AA37" s="21"/>
      <c r="AB37" s="91"/>
      <c r="AC37" s="91"/>
      <c r="AD37" s="91"/>
      <c r="AE37" s="90"/>
      <c r="AF37" s="91"/>
    </row>
    <row r="38" spans="1:33">
      <c r="A38" s="16" t="s">
        <v>25</v>
      </c>
      <c r="B38" s="91"/>
      <c r="C38" s="91"/>
      <c r="D38" s="91"/>
      <c r="E38" s="90"/>
      <c r="H38" s="35"/>
      <c r="I38" s="5"/>
      <c r="J38" s="91">
        <v>152685273.96000001</v>
      </c>
      <c r="K38" s="91"/>
      <c r="L38" s="16" t="s">
        <v>25</v>
      </c>
      <c r="M38" s="91"/>
      <c r="N38" s="91"/>
      <c r="O38" s="91"/>
      <c r="P38" s="91"/>
      <c r="Q38" s="91"/>
      <c r="R38" s="35"/>
      <c r="AA38" s="16" t="s">
        <v>25</v>
      </c>
      <c r="AB38" s="91"/>
      <c r="AC38" s="91"/>
      <c r="AD38" s="91"/>
      <c r="AE38" s="90"/>
      <c r="AF38" s="91"/>
      <c r="AG38" s="35"/>
    </row>
    <row r="39" spans="1:33">
      <c r="A39" s="5" t="s">
        <v>26</v>
      </c>
      <c r="B39" s="91">
        <v>0</v>
      </c>
      <c r="C39" s="91">
        <v>0</v>
      </c>
      <c r="D39" s="91">
        <v>0</v>
      </c>
      <c r="E39" s="91"/>
      <c r="F39" s="91">
        <f>-E49-SUM(E52:E54)</f>
        <v>-2537296.4900000002</v>
      </c>
      <c r="H39" s="35">
        <f>-16897161.34+18240590.34+97150762.09-104776705.46</f>
        <v>-6282514.3699999899</v>
      </c>
      <c r="I39" s="5"/>
      <c r="J39" s="91">
        <v>-47571534.670000002</v>
      </c>
      <c r="K39" s="91"/>
      <c r="L39" s="5" t="s">
        <v>26</v>
      </c>
      <c r="M39" s="91">
        <v>0</v>
      </c>
      <c r="N39" s="91">
        <v>0</v>
      </c>
      <c r="O39" s="91">
        <v>0</v>
      </c>
      <c r="P39" s="91"/>
      <c r="Q39" s="91">
        <f>-P49-SUM(P52:P54)</f>
        <v>820157.77</v>
      </c>
      <c r="R39" s="100"/>
      <c r="AA39" s="5" t="s">
        <v>26</v>
      </c>
      <c r="AB39" s="91">
        <v>0</v>
      </c>
      <c r="AC39" s="91">
        <v>0</v>
      </c>
      <c r="AD39" s="91">
        <v>0</v>
      </c>
      <c r="AE39" s="91"/>
      <c r="AF39" s="91">
        <f>-AE49-SUM(AE52:AE54)</f>
        <v>-3357454.2300000004</v>
      </c>
      <c r="AG39" s="100"/>
    </row>
    <row r="40" spans="1:33">
      <c r="A40" s="5" t="s">
        <v>28</v>
      </c>
      <c r="B40" s="91">
        <v>750000</v>
      </c>
      <c r="C40" s="91">
        <f>+B40</f>
        <v>750000</v>
      </c>
      <c r="D40" s="91">
        <f>+B40</f>
        <v>750000</v>
      </c>
      <c r="E40" s="90"/>
      <c r="F40" s="91">
        <v>0</v>
      </c>
      <c r="H40" s="100">
        <f>-18163715.06+7302667.87+18163715.06-12756030.4+1009593.91-3763910.11-2397890.18+3752825.14</f>
        <v>-6852743.7699999977</v>
      </c>
      <c r="I40" s="5"/>
      <c r="J40" s="91">
        <v>294369.31</v>
      </c>
      <c r="K40" s="91"/>
      <c r="L40" s="5" t="s">
        <v>28</v>
      </c>
      <c r="M40" s="91">
        <f>+B40</f>
        <v>750000</v>
      </c>
      <c r="N40" s="91">
        <f>+M40</f>
        <v>750000</v>
      </c>
      <c r="O40" s="91">
        <f>+M40</f>
        <v>750000</v>
      </c>
      <c r="P40" s="91"/>
      <c r="Q40" s="91">
        <v>0</v>
      </c>
      <c r="AA40" s="5" t="s">
        <v>28</v>
      </c>
      <c r="AB40" s="91">
        <v>0</v>
      </c>
      <c r="AC40" s="91">
        <f>+AB40</f>
        <v>0</v>
      </c>
      <c r="AD40" s="91">
        <f>+AB40</f>
        <v>0</v>
      </c>
      <c r="AE40" s="90"/>
      <c r="AF40" s="91">
        <f t="shared" ref="AF40:AF41" si="3">+F40-Q40</f>
        <v>0</v>
      </c>
    </row>
    <row r="41" spans="1:33">
      <c r="A41" s="12" t="s">
        <v>37</v>
      </c>
      <c r="B41" s="96">
        <v>0</v>
      </c>
      <c r="C41" s="91">
        <v>0</v>
      </c>
      <c r="D41" s="91">
        <v>0</v>
      </c>
      <c r="E41" s="90"/>
      <c r="F41" s="91">
        <v>0</v>
      </c>
      <c r="I41" s="5"/>
      <c r="J41" s="100">
        <v>-3797330.34</v>
      </c>
      <c r="K41" s="91"/>
      <c r="L41" s="5" t="s">
        <v>29</v>
      </c>
      <c r="M41" s="96">
        <v>0</v>
      </c>
      <c r="N41" s="91">
        <v>0</v>
      </c>
      <c r="O41" s="91">
        <v>0</v>
      </c>
      <c r="P41" s="91"/>
      <c r="Q41" s="91">
        <v>0</v>
      </c>
      <c r="R41" s="25" t="s">
        <v>8</v>
      </c>
      <c r="AA41" s="12" t="s">
        <v>37</v>
      </c>
      <c r="AB41" s="96">
        <v>0</v>
      </c>
      <c r="AC41" s="91">
        <v>0</v>
      </c>
      <c r="AD41" s="91">
        <v>0</v>
      </c>
      <c r="AE41" s="90"/>
      <c r="AF41" s="91">
        <f t="shared" si="3"/>
        <v>0</v>
      </c>
      <c r="AG41" s="25" t="s">
        <v>8</v>
      </c>
    </row>
    <row r="42" spans="1:33">
      <c r="A42" s="5" t="s">
        <v>40</v>
      </c>
      <c r="B42" s="105">
        <f>SUM(B39:B41)</f>
        <v>750000</v>
      </c>
      <c r="C42" s="105">
        <f>SUM(C39:C41)</f>
        <v>750000</v>
      </c>
      <c r="D42" s="105">
        <f>SUM(D39:D41)</f>
        <v>750000</v>
      </c>
      <c r="E42" s="90"/>
      <c r="F42" s="105">
        <f>SUM(F39:F41)</f>
        <v>-2537296.4900000002</v>
      </c>
      <c r="I42" s="5"/>
      <c r="J42" s="91">
        <v>-694059.64</v>
      </c>
      <c r="K42" s="91"/>
      <c r="L42" s="5" t="s">
        <v>40</v>
      </c>
      <c r="M42" s="105">
        <f>SUM(M39:M41)</f>
        <v>750000</v>
      </c>
      <c r="N42" s="105">
        <f>SUM(N39:N41)</f>
        <v>750000</v>
      </c>
      <c r="O42" s="105">
        <f>SUM(O39:O41)</f>
        <v>750000</v>
      </c>
      <c r="P42" s="91"/>
      <c r="Q42" s="105">
        <f>SUM(Q39:Q41)</f>
        <v>820157.77</v>
      </c>
      <c r="AA42" s="5" t="s">
        <v>40</v>
      </c>
      <c r="AB42" s="105">
        <f>SUM(AB39:AB41)</f>
        <v>0</v>
      </c>
      <c r="AC42" s="105">
        <f>SUM(AC39:AC41)</f>
        <v>0</v>
      </c>
      <c r="AD42" s="105">
        <f>SUM(AD39:AD41)</f>
        <v>0</v>
      </c>
      <c r="AE42" s="90"/>
      <c r="AF42" s="105">
        <f>SUM(AF39:AF41)</f>
        <v>-3357454.2300000004</v>
      </c>
    </row>
    <row r="43" spans="1:33">
      <c r="A43" s="11" t="s">
        <v>69</v>
      </c>
      <c r="B43" s="91">
        <f>SUM(B36:B41)</f>
        <v>89617949.210000008</v>
      </c>
      <c r="C43" s="91">
        <f>SUM(C36:C41)</f>
        <v>89617949.210000008</v>
      </c>
      <c r="D43" s="91">
        <f>SUM(D36:D41)</f>
        <v>89617949.210000008</v>
      </c>
      <c r="E43" s="90"/>
      <c r="F43" s="91">
        <f>SUM(F39:F41)+F10+F20+F28+F34</f>
        <v>-17173230.780000031</v>
      </c>
      <c r="H43" s="35"/>
      <c r="I43" s="21"/>
      <c r="J43" s="91">
        <v>4388002.1100000003</v>
      </c>
      <c r="K43" s="91"/>
      <c r="L43" s="5" t="s">
        <v>30</v>
      </c>
      <c r="M43" s="91">
        <f>SUM(M36:M41)</f>
        <v>-1296419.4299999988</v>
      </c>
      <c r="N43" s="91">
        <f>SUM(N36:N41)</f>
        <v>-1296419.4299999988</v>
      </c>
      <c r="O43" s="91">
        <f>SUM(O36:O41)</f>
        <v>-1296419.4299999988</v>
      </c>
      <c r="P43" s="91"/>
      <c r="Q43" s="91">
        <f>SUM(Q39:Q41)+Q10+Q20+Q28+Q34</f>
        <v>-1226261.6599999997</v>
      </c>
      <c r="R43" s="35"/>
      <c r="AA43" s="11" t="s">
        <v>69</v>
      </c>
      <c r="AB43" s="91">
        <f>SUM(AB36:AB41)</f>
        <v>90914368.640000015</v>
      </c>
      <c r="AC43" s="91">
        <f>SUM(AC36:AC41)</f>
        <v>90914368.640000015</v>
      </c>
      <c r="AD43" s="91">
        <f>SUM(AD36:AD41)</f>
        <v>90914368.640000015</v>
      </c>
      <c r="AE43" s="90"/>
      <c r="AF43" s="91">
        <f>SUM(AF39:AF41)+AF10+AF20+AF28+AF34</f>
        <v>-15946969.090000004</v>
      </c>
      <c r="AG43" s="35"/>
    </row>
    <row r="44" spans="1:33">
      <c r="A44" s="11" t="s">
        <v>73</v>
      </c>
      <c r="B44" s="112">
        <v>0.94703899999999996</v>
      </c>
      <c r="C44" s="112">
        <v>2.3852000000000002E-2</v>
      </c>
      <c r="D44" s="112">
        <v>1.4784E-2</v>
      </c>
      <c r="E44" s="90"/>
      <c r="H44" s="35"/>
      <c r="I44" s="5"/>
      <c r="J44" s="105">
        <f>SUM(J36:J43)</f>
        <v>103848674.08999999</v>
      </c>
      <c r="K44" s="91"/>
      <c r="L44" s="11" t="s">
        <v>44</v>
      </c>
      <c r="M44" s="113">
        <f>+B44</f>
        <v>0.94703899999999996</v>
      </c>
      <c r="N44" s="113">
        <f>+C44</f>
        <v>2.3852000000000002E-2</v>
      </c>
      <c r="O44" s="113">
        <f>+D44</f>
        <v>1.4784E-2</v>
      </c>
      <c r="P44" s="91"/>
      <c r="Q44" s="91"/>
      <c r="R44" s="35" t="s">
        <v>9</v>
      </c>
      <c r="AA44" s="11" t="s">
        <v>73</v>
      </c>
      <c r="AB44" s="112">
        <v>0.94703899999999996</v>
      </c>
      <c r="AC44" s="112">
        <v>2.3852000000000002E-2</v>
      </c>
      <c r="AD44" s="112">
        <v>1.4784E-2</v>
      </c>
      <c r="AE44" s="90"/>
      <c r="AF44" s="91"/>
      <c r="AG44" s="35" t="s">
        <v>9</v>
      </c>
    </row>
    <row r="45" spans="1:33" ht="18" customHeight="1">
      <c r="A45" s="11" t="s">
        <v>45</v>
      </c>
      <c r="B45" s="91">
        <f>ROUND(+B43*B44,2)-0.01</f>
        <v>84871692.989999995</v>
      </c>
      <c r="C45" s="91">
        <f>ROUND(+C43*C44,2)</f>
        <v>2137567.3199999998</v>
      </c>
      <c r="D45" s="91">
        <f>ROUND(+D43*D44,2)+0.01</f>
        <v>1324911.77</v>
      </c>
      <c r="E45" s="90"/>
      <c r="H45" s="35"/>
      <c r="I45" s="5"/>
      <c r="J45" s="21"/>
      <c r="K45" s="21"/>
      <c r="L45" s="11" t="s">
        <v>45</v>
      </c>
      <c r="M45" s="91">
        <f>+M43*M44-0.01</f>
        <v>-1227759.7705677687</v>
      </c>
      <c r="N45" s="91">
        <f>+N43*N44</f>
        <v>-30922.196244359973</v>
      </c>
      <c r="O45" s="91">
        <f>+O43*O44</f>
        <v>-19166.264853119981</v>
      </c>
      <c r="P45" s="91"/>
      <c r="Q45" s="91"/>
      <c r="R45" s="35"/>
      <c r="AA45" s="11" t="s">
        <v>45</v>
      </c>
      <c r="AB45" s="91">
        <f>ROUND(+AB43*AB44,2)</f>
        <v>86099452.760000005</v>
      </c>
      <c r="AC45" s="91">
        <f>ROUND(+AC43*AC44,2)</f>
        <v>2168489.52</v>
      </c>
      <c r="AD45" s="91">
        <f>ROUND(+AD43*AD44,2)</f>
        <v>1344078.03</v>
      </c>
      <c r="AE45" s="90"/>
      <c r="AF45" s="91"/>
    </row>
    <row r="46" spans="1:33">
      <c r="A46" s="12" t="s">
        <v>68</v>
      </c>
      <c r="B46" s="98">
        <v>-5000</v>
      </c>
      <c r="C46" s="98">
        <v>0</v>
      </c>
      <c r="D46" s="98">
        <v>0</v>
      </c>
      <c r="E46" s="90"/>
      <c r="H46" s="25" t="s">
        <v>8</v>
      </c>
      <c r="I46" s="5"/>
      <c r="J46" s="91"/>
      <c r="K46" s="91"/>
      <c r="L46" s="11"/>
      <c r="M46" s="91"/>
      <c r="N46" s="91"/>
      <c r="O46" s="91"/>
      <c r="P46" s="91"/>
      <c r="Q46" s="91"/>
      <c r="R46" s="35"/>
      <c r="AA46" s="12" t="s">
        <v>68</v>
      </c>
      <c r="AB46" s="98">
        <v>-5000</v>
      </c>
      <c r="AC46" s="98">
        <v>0</v>
      </c>
      <c r="AD46" s="98">
        <v>0</v>
      </c>
      <c r="AE46" s="90"/>
      <c r="AF46" s="91"/>
    </row>
    <row r="47" spans="1:33">
      <c r="A47" s="11" t="s">
        <v>70</v>
      </c>
      <c r="B47" s="91">
        <f>+B45+B46</f>
        <v>84866692.989999995</v>
      </c>
      <c r="C47" s="91">
        <f>+C45+C46</f>
        <v>2137567.3199999998</v>
      </c>
      <c r="D47" s="91">
        <f>+D45+D46</f>
        <v>1324911.77</v>
      </c>
      <c r="E47" s="90"/>
      <c r="H47" s="35"/>
      <c r="L47" s="11"/>
      <c r="M47" s="91"/>
      <c r="N47" s="91"/>
      <c r="O47" s="91"/>
      <c r="P47" s="91"/>
      <c r="Q47" s="91"/>
      <c r="R47" s="35"/>
      <c r="AA47" s="11" t="s">
        <v>70</v>
      </c>
      <c r="AB47" s="91">
        <f>+AB45+AB46+0.01</f>
        <v>86094452.770000011</v>
      </c>
      <c r="AC47" s="91">
        <f>+AC45+AC46</f>
        <v>2168489.52</v>
      </c>
      <c r="AD47" s="91">
        <f>+AD45+AD46</f>
        <v>1344078.03</v>
      </c>
      <c r="AE47" s="90"/>
      <c r="AF47" s="91"/>
    </row>
    <row r="48" spans="1:33">
      <c r="A48" s="12" t="s">
        <v>77</v>
      </c>
      <c r="B48" s="114">
        <v>5.5E-2</v>
      </c>
      <c r="C48" s="114">
        <v>0.05</v>
      </c>
      <c r="D48" s="115">
        <v>5.6603768999999998E-2</v>
      </c>
      <c r="E48" s="112"/>
      <c r="F48" s="98">
        <v>0.35</v>
      </c>
      <c r="G48" s="99"/>
      <c r="H48" s="39" t="s">
        <v>63</v>
      </c>
      <c r="J48" s="100"/>
      <c r="L48" s="12" t="s">
        <v>77</v>
      </c>
      <c r="M48" s="116">
        <v>5.5E-2</v>
      </c>
      <c r="N48" s="116">
        <v>0.05</v>
      </c>
      <c r="O48" s="116">
        <v>5.6603768999999998E-2</v>
      </c>
      <c r="P48" s="98"/>
      <c r="Q48" s="99">
        <v>0.35</v>
      </c>
      <c r="R48" s="39" t="s">
        <v>63</v>
      </c>
      <c r="AA48" s="12" t="s">
        <v>77</v>
      </c>
      <c r="AB48" s="114">
        <v>5.5E-2</v>
      </c>
      <c r="AC48" s="114">
        <v>0.05</v>
      </c>
      <c r="AD48" s="115">
        <v>5.6603768999999998E-2</v>
      </c>
      <c r="AE48" s="112"/>
      <c r="AF48" s="98">
        <v>0.35</v>
      </c>
    </row>
    <row r="49" spans="1:32">
      <c r="A49" s="5" t="s">
        <v>41</v>
      </c>
      <c r="B49" s="91">
        <f>ROUND(+B47*B48,2)+0.01</f>
        <v>4667668.12</v>
      </c>
      <c r="C49" s="91">
        <f>ROUND(+C47*C48,2)</f>
        <v>106878.37</v>
      </c>
      <c r="D49" s="91">
        <f>ROUND(+D47*D48,2)</f>
        <v>74995</v>
      </c>
      <c r="E49" s="91">
        <f>SUM(B49:D49)</f>
        <v>4849541.49</v>
      </c>
      <c r="F49" s="91">
        <f>ROUND(+F43*F48,2)</f>
        <v>-6010630.7699999996</v>
      </c>
      <c r="H49" s="35">
        <f t="shared" ref="H49:H57" si="4">+E49+F49</f>
        <v>-1161089.2799999993</v>
      </c>
      <c r="I49" s="35"/>
      <c r="J49" s="100"/>
      <c r="L49" s="5" t="s">
        <v>41</v>
      </c>
      <c r="M49" s="107">
        <f>+ROUND(M45*M48,2)+0.01</f>
        <v>-67526.78</v>
      </c>
      <c r="N49" s="107">
        <f>+ROUND(N45*N48,2)</f>
        <v>-1546.11</v>
      </c>
      <c r="O49" s="107">
        <f>+ROUND(O45*O48,2)</f>
        <v>-1084.8800000000001</v>
      </c>
      <c r="P49" s="91">
        <f>SUM(M49:O49)</f>
        <v>-70157.77</v>
      </c>
      <c r="Q49" s="91">
        <f>ROUND(+Q43*Q48,3)</f>
        <v>-429191.58100000001</v>
      </c>
      <c r="R49" s="35">
        <f t="shared" ref="R49:R60" si="5">+P49+Q49</f>
        <v>-499349.35100000002</v>
      </c>
      <c r="T49" s="100"/>
      <c r="AA49" s="5" t="s">
        <v>41</v>
      </c>
      <c r="AB49" s="91">
        <f>ROUND(+AB47*AB48,2)-0.01</f>
        <v>4735194.8900000006</v>
      </c>
      <c r="AC49" s="91">
        <f>ROUND(+AC47*AC48,2)-0.01</f>
        <v>108424.47</v>
      </c>
      <c r="AD49" s="91">
        <f>ROUND(+AD47*AD48,2)-0.01</f>
        <v>76079.87000000001</v>
      </c>
      <c r="AE49" s="91">
        <f>SUM(AB49:AD49)</f>
        <v>4919699.2300000004</v>
      </c>
      <c r="AF49" s="91">
        <f>ROUND(+AF43*AF48,2)+0.01</f>
        <v>-5581439.1699999999</v>
      </c>
    </row>
    <row r="50" spans="1:32">
      <c r="A50" s="5"/>
      <c r="B50" s="91"/>
      <c r="C50" s="91"/>
      <c r="D50" s="91"/>
      <c r="E50" s="91"/>
      <c r="H50" s="35"/>
      <c r="I50" s="35"/>
      <c r="J50" s="100"/>
      <c r="L50" s="5"/>
      <c r="M50" s="107"/>
      <c r="N50" s="107"/>
      <c r="O50" s="107"/>
      <c r="P50" s="91"/>
      <c r="Q50" s="91"/>
      <c r="R50" s="35"/>
      <c r="T50" s="100"/>
      <c r="AA50" s="5"/>
      <c r="AB50" s="91"/>
      <c r="AC50" s="91"/>
      <c r="AD50" s="91"/>
      <c r="AE50" s="91"/>
      <c r="AF50" s="91"/>
    </row>
    <row r="51" spans="1:32">
      <c r="A51" s="14" t="s">
        <v>42</v>
      </c>
      <c r="B51" s="91"/>
      <c r="C51" s="91"/>
      <c r="D51" s="91"/>
      <c r="E51" s="91"/>
      <c r="H51" s="100">
        <f t="shared" si="4"/>
        <v>0</v>
      </c>
      <c r="L51" s="14" t="s">
        <v>42</v>
      </c>
      <c r="M51" s="91"/>
      <c r="N51" s="91"/>
      <c r="O51" s="91"/>
      <c r="P51" s="91">
        <f t="shared" ref="P51:P57" si="6">SUM(M51:O51)</f>
        <v>0</v>
      </c>
      <c r="Q51" s="91"/>
      <c r="R51" s="100">
        <f t="shared" si="5"/>
        <v>0</v>
      </c>
      <c r="AA51" s="14" t="s">
        <v>42</v>
      </c>
      <c r="AB51" s="91"/>
      <c r="AC51" s="91"/>
      <c r="AD51" s="91"/>
      <c r="AE51" s="91"/>
      <c r="AF51" s="91"/>
    </row>
    <row r="52" spans="1:32">
      <c r="A52" s="12" t="s">
        <v>71</v>
      </c>
      <c r="B52" s="91">
        <v>-750000</v>
      </c>
      <c r="C52" s="91"/>
      <c r="D52" s="91"/>
      <c r="E52" s="91">
        <f t="shared" ref="E52:E57" si="7">SUM(B52:D52)</f>
        <v>-750000</v>
      </c>
      <c r="F52" s="96"/>
      <c r="H52" s="35">
        <f t="shared" si="4"/>
        <v>-750000</v>
      </c>
      <c r="L52" s="11" t="str">
        <f>+A52</f>
        <v>SCHOLARSHIP CREDIT</v>
      </c>
      <c r="M52" s="91">
        <f>+B52</f>
        <v>-750000</v>
      </c>
      <c r="N52" s="91"/>
      <c r="O52" s="91"/>
      <c r="P52" s="91">
        <f t="shared" si="6"/>
        <v>-750000</v>
      </c>
      <c r="Q52" s="91"/>
      <c r="R52" s="100">
        <f t="shared" si="5"/>
        <v>-750000</v>
      </c>
      <c r="AA52" s="12" t="s">
        <v>71</v>
      </c>
      <c r="AB52" s="91">
        <f t="shared" ref="AB52:AD57" si="8">+B52-M52</f>
        <v>0</v>
      </c>
      <c r="AC52" s="91">
        <f t="shared" si="8"/>
        <v>0</v>
      </c>
      <c r="AD52" s="91">
        <f t="shared" si="8"/>
        <v>0</v>
      </c>
      <c r="AE52" s="91">
        <f t="shared" ref="AE52:AE57" si="9">SUM(AB52:AD52)</f>
        <v>0</v>
      </c>
      <c r="AF52" s="96"/>
    </row>
    <row r="53" spans="1:32">
      <c r="A53" s="12" t="s">
        <v>67</v>
      </c>
      <c r="B53" s="91"/>
      <c r="C53" s="91"/>
      <c r="D53" s="91"/>
      <c r="E53" s="91">
        <f t="shared" si="7"/>
        <v>0</v>
      </c>
      <c r="F53" s="91">
        <f>-ROUND(((113210*0.6)/12*12),2)</f>
        <v>-67926</v>
      </c>
      <c r="H53" s="35">
        <f>+E53+F53</f>
        <v>-67926</v>
      </c>
      <c r="I53" s="25" t="s">
        <v>3</v>
      </c>
      <c r="K53" s="35"/>
      <c r="L53" s="12" t="s">
        <v>67</v>
      </c>
      <c r="M53" s="91"/>
      <c r="N53" s="91"/>
      <c r="O53" s="91"/>
      <c r="P53" s="91">
        <f t="shared" si="6"/>
        <v>0</v>
      </c>
      <c r="Q53" s="91">
        <v>0</v>
      </c>
      <c r="R53" s="35">
        <f>+P53+Q53</f>
        <v>0</v>
      </c>
      <c r="AA53" s="12" t="s">
        <v>67</v>
      </c>
      <c r="AB53" s="91">
        <f t="shared" si="8"/>
        <v>0</v>
      </c>
      <c r="AC53" s="91">
        <f t="shared" si="8"/>
        <v>0</v>
      </c>
      <c r="AD53" s="91">
        <f t="shared" si="8"/>
        <v>0</v>
      </c>
      <c r="AE53" s="91">
        <f t="shared" si="9"/>
        <v>0</v>
      </c>
      <c r="AF53" s="91">
        <f t="shared" ref="AF53:AF57" si="10">+F53-Q53</f>
        <v>-67926</v>
      </c>
    </row>
    <row r="54" spans="1:32">
      <c r="A54" s="25" t="s">
        <v>84</v>
      </c>
      <c r="B54" s="100"/>
      <c r="C54" s="100"/>
      <c r="D54" s="100">
        <f>-ROUND((1562245/12*12),0)</f>
        <v>-1562245</v>
      </c>
      <c r="E54" s="91">
        <f t="shared" si="7"/>
        <v>-1562245</v>
      </c>
      <c r="F54" s="91">
        <v>0</v>
      </c>
      <c r="H54" s="35">
        <f>+E54+F54</f>
        <v>-1562245</v>
      </c>
      <c r="L54" s="25" t="s">
        <v>84</v>
      </c>
      <c r="M54" s="91">
        <f>+B54</f>
        <v>0</v>
      </c>
      <c r="P54" s="91">
        <f t="shared" si="6"/>
        <v>0</v>
      </c>
      <c r="R54" s="100">
        <f t="shared" si="5"/>
        <v>0</v>
      </c>
      <c r="AA54" s="25" t="s">
        <v>84</v>
      </c>
      <c r="AB54" s="100">
        <f t="shared" si="8"/>
        <v>0</v>
      </c>
      <c r="AC54" s="100">
        <f t="shared" si="8"/>
        <v>0</v>
      </c>
      <c r="AD54" s="100">
        <f t="shared" si="8"/>
        <v>-1562245</v>
      </c>
      <c r="AE54" s="91">
        <f t="shared" si="9"/>
        <v>-1562245</v>
      </c>
      <c r="AF54" s="91">
        <f t="shared" si="10"/>
        <v>0</v>
      </c>
    </row>
    <row r="55" spans="1:32">
      <c r="A55" s="11" t="s">
        <v>95</v>
      </c>
      <c r="B55" s="91">
        <f>-2305.71+277595.18</f>
        <v>275289.46999999997</v>
      </c>
      <c r="C55" s="91"/>
      <c r="D55" s="91">
        <f>ROUND(((1562245*0.1)/12*12),0)+1498</f>
        <v>157723</v>
      </c>
      <c r="E55" s="91">
        <f t="shared" si="7"/>
        <v>433012.47</v>
      </c>
      <c r="F55" s="91">
        <f>46006-14672.7+1766514.75</f>
        <v>1797848.05</v>
      </c>
      <c r="H55" s="35">
        <f>+E55+F55</f>
        <v>2230860.52</v>
      </c>
      <c r="K55" s="35"/>
      <c r="L55" s="11" t="s">
        <v>39</v>
      </c>
      <c r="M55" s="91">
        <v>0</v>
      </c>
      <c r="N55" s="91"/>
      <c r="O55" s="91"/>
      <c r="P55" s="91">
        <f t="shared" si="6"/>
        <v>0</v>
      </c>
      <c r="Q55" s="91">
        <v>0</v>
      </c>
      <c r="R55" s="35">
        <f>+P55+Q55</f>
        <v>0</v>
      </c>
      <c r="AA55" s="11" t="s">
        <v>95</v>
      </c>
      <c r="AB55" s="91">
        <f t="shared" si="8"/>
        <v>275289.46999999997</v>
      </c>
      <c r="AC55" s="91">
        <f t="shared" si="8"/>
        <v>0</v>
      </c>
      <c r="AD55" s="91">
        <f t="shared" si="8"/>
        <v>157723</v>
      </c>
      <c r="AE55" s="91">
        <f t="shared" si="9"/>
        <v>433012.47</v>
      </c>
      <c r="AF55" s="91">
        <f t="shared" si="10"/>
        <v>1797848.05</v>
      </c>
    </row>
    <row r="56" spans="1:32">
      <c r="A56" s="12" t="s">
        <v>66</v>
      </c>
      <c r="B56" s="91">
        <f>35644+18879</f>
        <v>54523</v>
      </c>
      <c r="C56" s="91">
        <v>-18879</v>
      </c>
      <c r="D56" s="91"/>
      <c r="E56" s="91">
        <f t="shared" si="7"/>
        <v>35644</v>
      </c>
      <c r="F56" s="91">
        <v>0</v>
      </c>
      <c r="H56" s="35">
        <f>+E56+F56</f>
        <v>35644</v>
      </c>
      <c r="K56" s="35"/>
      <c r="L56" s="12" t="s">
        <v>66</v>
      </c>
      <c r="M56" s="91"/>
      <c r="N56" s="91"/>
      <c r="O56" s="91"/>
      <c r="P56" s="91">
        <f t="shared" si="6"/>
        <v>0</v>
      </c>
      <c r="Q56" s="91">
        <v>0</v>
      </c>
      <c r="R56" s="35">
        <f>+P56+Q56</f>
        <v>0</v>
      </c>
      <c r="AA56" s="12" t="s">
        <v>66</v>
      </c>
      <c r="AB56" s="91">
        <f t="shared" si="8"/>
        <v>54523</v>
      </c>
      <c r="AC56" s="91">
        <f t="shared" si="8"/>
        <v>-18879</v>
      </c>
      <c r="AD56" s="91">
        <f t="shared" si="8"/>
        <v>0</v>
      </c>
      <c r="AE56" s="91">
        <f t="shared" si="9"/>
        <v>35644</v>
      </c>
      <c r="AF56" s="91">
        <f t="shared" si="10"/>
        <v>0</v>
      </c>
    </row>
    <row r="57" spans="1:32">
      <c r="A57" s="11" t="s">
        <v>46</v>
      </c>
      <c r="B57" s="98">
        <f>159064.32-4734+1460045.2</f>
        <v>1614375.52</v>
      </c>
      <c r="C57" s="98">
        <v>-25296.2</v>
      </c>
      <c r="D57" s="98">
        <v>-422632.88</v>
      </c>
      <c r="E57" s="98">
        <f t="shared" si="7"/>
        <v>1166446.44</v>
      </c>
      <c r="F57" s="98">
        <f>-491798.12-28468-12907007</f>
        <v>-13427273.119999999</v>
      </c>
      <c r="G57" s="41"/>
      <c r="H57" s="41">
        <f t="shared" si="4"/>
        <v>-12260826.68</v>
      </c>
      <c r="J57" s="35"/>
      <c r="L57" s="11" t="s">
        <v>46</v>
      </c>
      <c r="M57" s="98">
        <v>-4734</v>
      </c>
      <c r="N57" s="98">
        <v>0</v>
      </c>
      <c r="O57" s="98">
        <v>0</v>
      </c>
      <c r="P57" s="98">
        <f t="shared" si="6"/>
        <v>-4734</v>
      </c>
      <c r="Q57" s="98">
        <v>-28468</v>
      </c>
      <c r="R57" s="41">
        <f t="shared" si="5"/>
        <v>-33202</v>
      </c>
      <c r="U57" s="100"/>
      <c r="V57" s="100"/>
      <c r="AA57" s="11" t="s">
        <v>46</v>
      </c>
      <c r="AB57" s="98">
        <f t="shared" si="8"/>
        <v>1619109.52</v>
      </c>
      <c r="AC57" s="98">
        <f t="shared" si="8"/>
        <v>-25296.2</v>
      </c>
      <c r="AD57" s="98">
        <f t="shared" si="8"/>
        <v>-422632.88</v>
      </c>
      <c r="AE57" s="98">
        <f t="shared" si="9"/>
        <v>1171180.44</v>
      </c>
      <c r="AF57" s="98">
        <f t="shared" si="10"/>
        <v>-13398805.119999999</v>
      </c>
    </row>
    <row r="58" spans="1:32">
      <c r="A58" s="12" t="s">
        <v>51</v>
      </c>
      <c r="B58" s="91">
        <f>SUM(B49:B57)</f>
        <v>5861856.1099999994</v>
      </c>
      <c r="C58" s="91">
        <f>SUM(C49:C57)</f>
        <v>62703.17</v>
      </c>
      <c r="D58" s="91">
        <f>SUM(D49:D57)</f>
        <v>-1752159.88</v>
      </c>
      <c r="E58" s="91">
        <f>SUM(E49:E57)</f>
        <v>4172399.4</v>
      </c>
      <c r="F58" s="91">
        <f>SUM(F49:F57)</f>
        <v>-17707981.84</v>
      </c>
      <c r="G58" s="35"/>
      <c r="H58" s="35">
        <f>ROUND(+E58+F58,2)</f>
        <v>-13535582.439999999</v>
      </c>
      <c r="J58" s="35"/>
      <c r="L58" s="12" t="s">
        <v>51</v>
      </c>
      <c r="M58" s="91">
        <f>SUM(M49:M57)</f>
        <v>-822260.78</v>
      </c>
      <c r="N58" s="91">
        <f>SUM(N49:N57)</f>
        <v>-1546.11</v>
      </c>
      <c r="O58" s="91">
        <f>SUM(O49:O57)</f>
        <v>-1084.8800000000001</v>
      </c>
      <c r="P58" s="91">
        <f>SUM(P49:P57)</f>
        <v>-824891.77</v>
      </c>
      <c r="Q58" s="91">
        <f>SUM(Q49:Q57)</f>
        <v>-457659.58100000001</v>
      </c>
      <c r="R58" s="35">
        <f t="shared" si="5"/>
        <v>-1282551.351</v>
      </c>
      <c r="U58" s="100"/>
      <c r="V58" s="100"/>
      <c r="AA58" s="12" t="s">
        <v>51</v>
      </c>
      <c r="AB58" s="91">
        <f>SUM(AB49:AB57)</f>
        <v>6684116.8800000008</v>
      </c>
      <c r="AC58" s="91">
        <f>SUM(AC49:AC57)</f>
        <v>64249.270000000004</v>
      </c>
      <c r="AD58" s="91">
        <f>SUM(AD49:AD57)</f>
        <v>-1751075.0099999998</v>
      </c>
      <c r="AE58" s="91">
        <f>SUM(AE49:AE57)</f>
        <v>4997291.1400000006</v>
      </c>
      <c r="AF58" s="91">
        <f>SUM(AF49:AF57)</f>
        <v>-17250322.239999998</v>
      </c>
    </row>
    <row r="59" spans="1:32">
      <c r="A59" s="12" t="s">
        <v>96</v>
      </c>
      <c r="B59" s="98">
        <v>10.87</v>
      </c>
      <c r="C59" s="98">
        <v>0</v>
      </c>
      <c r="D59" s="98">
        <v>0</v>
      </c>
      <c r="E59" s="98">
        <f>SUM(B59:D59)</f>
        <v>10.87</v>
      </c>
      <c r="F59" s="117">
        <v>65.34</v>
      </c>
      <c r="G59" s="41"/>
      <c r="H59" s="41">
        <f>+E59+F59</f>
        <v>76.210000000000008</v>
      </c>
      <c r="I59" s="42" t="s">
        <v>52</v>
      </c>
      <c r="J59" s="42" t="s">
        <v>53</v>
      </c>
      <c r="L59" s="11" t="str">
        <f>+A59</f>
        <v>MISCELLANEOUS</v>
      </c>
      <c r="M59" s="99"/>
      <c r="N59" s="99"/>
      <c r="O59" s="99"/>
      <c r="P59" s="98">
        <f>SUM(M59:O59)</f>
        <v>0</v>
      </c>
      <c r="Q59" s="118"/>
      <c r="R59" s="41">
        <f t="shared" si="5"/>
        <v>0</v>
      </c>
      <c r="U59" s="100"/>
      <c r="V59" s="100"/>
      <c r="AA59" s="12" t="s">
        <v>96</v>
      </c>
      <c r="AB59" s="98">
        <f>+B59</f>
        <v>10.87</v>
      </c>
      <c r="AC59" s="98">
        <v>0</v>
      </c>
      <c r="AD59" s="98">
        <v>0</v>
      </c>
      <c r="AE59" s="98">
        <f>SUM(AB59:AD59)</f>
        <v>10.87</v>
      </c>
      <c r="AF59" s="117">
        <f>+F59</f>
        <v>65.34</v>
      </c>
    </row>
    <row r="60" spans="1:32">
      <c r="A60" s="5" t="s">
        <v>54</v>
      </c>
      <c r="B60" s="91">
        <f>+B58+B59</f>
        <v>5861866.9799999995</v>
      </c>
      <c r="C60" s="91">
        <f>+C58+C59</f>
        <v>62703.17</v>
      </c>
      <c r="D60" s="91">
        <f>+D58+D59</f>
        <v>-1752159.88</v>
      </c>
      <c r="E60" s="91">
        <f>+E58+E59</f>
        <v>4172410.27</v>
      </c>
      <c r="F60" s="91">
        <f>+F58+F59</f>
        <v>-17707916.5</v>
      </c>
      <c r="G60" s="35"/>
      <c r="H60" s="35">
        <f>ROUND(+E60+F60,2)</f>
        <v>-13535506.23</v>
      </c>
      <c r="I60" s="35">
        <f>SUM('[2]Sch 4A'!$D$41:$D$42)</f>
        <v>-13535506.23</v>
      </c>
      <c r="J60" s="35">
        <f>SUM('[3]Sch 60A'!$F$128,'[3]Sch 60A'!$F$157)</f>
        <v>-13535506.23</v>
      </c>
      <c r="L60" s="5" t="s">
        <v>54</v>
      </c>
      <c r="M60" s="91">
        <f>+M58+M59</f>
        <v>-822260.78</v>
      </c>
      <c r="N60" s="91">
        <f>+N58+N59</f>
        <v>-1546.11</v>
      </c>
      <c r="O60" s="91">
        <f>+O58+O59</f>
        <v>-1084.8800000000001</v>
      </c>
      <c r="P60" s="91">
        <f>+P58+P59</f>
        <v>-824891.77</v>
      </c>
      <c r="Q60" s="91">
        <f>+Q58+Q59</f>
        <v>-457659.58100000001</v>
      </c>
      <c r="R60" s="35">
        <f t="shared" si="5"/>
        <v>-1282551.351</v>
      </c>
      <c r="U60" s="100"/>
      <c r="V60" s="100"/>
      <c r="AA60" s="5" t="s">
        <v>54</v>
      </c>
      <c r="AB60" s="91">
        <f>+AB58+AB59</f>
        <v>6684127.7500000009</v>
      </c>
      <c r="AC60" s="91">
        <f>+AC58+AC59</f>
        <v>64249.270000000004</v>
      </c>
      <c r="AD60" s="91">
        <f>+AD58+AD59</f>
        <v>-1751075.0099999998</v>
      </c>
      <c r="AE60" s="91">
        <f>+AE58+AE59</f>
        <v>4997302.0100000007</v>
      </c>
      <c r="AF60" s="91">
        <f>+AF58+AF59</f>
        <v>-17250256.899999999</v>
      </c>
    </row>
    <row r="61" spans="1:32">
      <c r="A61" s="5"/>
      <c r="B61" s="91"/>
      <c r="C61" s="91"/>
      <c r="D61" s="91"/>
      <c r="E61" s="91"/>
      <c r="H61" s="35"/>
      <c r="I61" s="35"/>
      <c r="L61" s="5"/>
      <c r="M61" s="91"/>
      <c r="N61" s="91"/>
      <c r="O61" s="91"/>
      <c r="P61" s="91"/>
      <c r="Q61" s="91"/>
      <c r="U61" s="100"/>
      <c r="V61" s="100"/>
      <c r="AA61" s="5"/>
      <c r="AB61" s="91"/>
      <c r="AC61" s="91"/>
      <c r="AD61" s="91"/>
      <c r="AE61" s="91"/>
      <c r="AF61" s="91"/>
    </row>
    <row r="62" spans="1:32">
      <c r="A62" s="27"/>
      <c r="B62" s="91"/>
      <c r="C62" s="91"/>
      <c r="D62" s="91"/>
      <c r="E62" s="91"/>
      <c r="H62" s="35"/>
      <c r="L62" s="27"/>
      <c r="M62" s="91"/>
      <c r="N62" s="91"/>
      <c r="O62" s="91"/>
      <c r="P62" s="91"/>
      <c r="Q62" s="91"/>
      <c r="R62" s="35"/>
      <c r="U62" s="100"/>
      <c r="V62" s="100"/>
      <c r="AA62" s="27"/>
      <c r="AB62" s="91"/>
      <c r="AC62" s="91"/>
      <c r="AD62" s="91"/>
      <c r="AE62" s="91"/>
      <c r="AF62" s="91"/>
    </row>
    <row r="63" spans="1:32">
      <c r="A63" s="5" t="s">
        <v>89</v>
      </c>
      <c r="B63" s="96">
        <f>21969813.1-B65-B67</f>
        <v>20525991.300000001</v>
      </c>
      <c r="C63" s="96">
        <v>0</v>
      </c>
      <c r="D63" s="96">
        <v>0</v>
      </c>
      <c r="E63" s="91">
        <f t="shared" ref="E63:E68" si="11">SUM(B63:D63)</f>
        <v>20525991.300000001</v>
      </c>
      <c r="F63" s="96">
        <f>167338935.16-F65-F67</f>
        <v>152408830.84999999</v>
      </c>
      <c r="H63" s="100">
        <f>+E63+F63</f>
        <v>172934822.15000001</v>
      </c>
      <c r="I63" s="21">
        <f>SUM('[2]Sch 4A'!$D$43:$D$44)</f>
        <v>189308748.25999999</v>
      </c>
      <c r="J63" s="21">
        <f>SUM('[3]Sch 60A'!$F$130:$F$138,'[3]Sch 60A'!$F$151,'[3]Sch 60A'!$F$153,'[3]Sch 60A'!$F$158)</f>
        <v>189308748.26000002</v>
      </c>
      <c r="K63" s="35"/>
      <c r="L63" s="5" t="s">
        <v>89</v>
      </c>
      <c r="M63" s="96">
        <v>1365.85</v>
      </c>
      <c r="N63" s="96">
        <v>0</v>
      </c>
      <c r="O63" s="96">
        <v>0</v>
      </c>
      <c r="P63" s="91">
        <f t="shared" ref="P63:P64" si="12">SUM(M63:O63)</f>
        <v>1365.85</v>
      </c>
      <c r="Q63" s="96">
        <v>9318.66</v>
      </c>
      <c r="R63" s="100">
        <f>+P63+Q63</f>
        <v>10684.51</v>
      </c>
      <c r="S63" s="35"/>
      <c r="U63" s="100"/>
      <c r="V63" s="100"/>
      <c r="AA63" s="5" t="s">
        <v>89</v>
      </c>
      <c r="AB63" s="96">
        <f t="shared" ref="AB63:AD68" si="13">+B63-M63</f>
        <v>20524625.449999999</v>
      </c>
      <c r="AC63" s="96">
        <f t="shared" si="13"/>
        <v>0</v>
      </c>
      <c r="AD63" s="96">
        <f t="shared" si="13"/>
        <v>0</v>
      </c>
      <c r="AE63" s="91">
        <f t="shared" ref="AE63:AE68" si="14">SUM(AB63:AD63)</f>
        <v>20524625.449999999</v>
      </c>
      <c r="AF63" s="96">
        <f t="shared" ref="AF63:AF68" si="15">+F63-Q63</f>
        <v>152399512.19</v>
      </c>
    </row>
    <row r="64" spans="1:32">
      <c r="A64" s="5" t="s">
        <v>88</v>
      </c>
      <c r="B64" s="96">
        <f>-17965218.91-B66-D66-B68</f>
        <v>-14774829.609999999</v>
      </c>
      <c r="C64" s="96">
        <v>0</v>
      </c>
      <c r="D64" s="96">
        <v>0</v>
      </c>
      <c r="E64" s="91">
        <f t="shared" si="11"/>
        <v>-14774829.609999999</v>
      </c>
      <c r="F64" s="96">
        <f>-86294424.3-F66-F68</f>
        <v>-82452733.679999992</v>
      </c>
      <c r="H64" s="100">
        <f>+E64+F64</f>
        <v>-97227563.289999992</v>
      </c>
      <c r="I64" s="21">
        <f>SUM('[2]Sch 4A'!$D$45:$D$46)</f>
        <v>-104259643.20999999</v>
      </c>
      <c r="J64" s="21">
        <f>SUM('[3]Sch 60A'!$F$141:$F$148,'[3]Sch 60A'!$F$152,'[3]Sch 60A'!$F$154,'[3]Sch 60A'!$F$159)</f>
        <v>-104259643.21000001</v>
      </c>
      <c r="K64" s="35"/>
      <c r="L64" s="5" t="s">
        <v>88</v>
      </c>
      <c r="M64" s="96">
        <v>-1791.06</v>
      </c>
      <c r="N64" s="96">
        <v>0</v>
      </c>
      <c r="O64" s="96">
        <v>0</v>
      </c>
      <c r="P64" s="91">
        <f t="shared" si="12"/>
        <v>-1791.06</v>
      </c>
      <c r="Q64" s="96">
        <v>-11875.74</v>
      </c>
      <c r="R64" s="100">
        <f>+P64+Q64</f>
        <v>-13666.8</v>
      </c>
      <c r="U64" s="100"/>
      <c r="V64" s="100"/>
      <c r="AA64" s="5" t="s">
        <v>88</v>
      </c>
      <c r="AB64" s="96">
        <f t="shared" si="13"/>
        <v>-14773038.549999999</v>
      </c>
      <c r="AC64" s="96">
        <f t="shared" si="13"/>
        <v>0</v>
      </c>
      <c r="AD64" s="96">
        <f t="shared" si="13"/>
        <v>0</v>
      </c>
      <c r="AE64" s="91">
        <f t="shared" si="14"/>
        <v>-14773038.549999999</v>
      </c>
      <c r="AF64" s="96">
        <f t="shared" si="15"/>
        <v>-82440857.939999998</v>
      </c>
    </row>
    <row r="65" spans="1:33">
      <c r="A65" s="5" t="s">
        <v>100</v>
      </c>
      <c r="B65" s="91"/>
      <c r="C65" s="91"/>
      <c r="D65" s="91"/>
      <c r="E65" s="91">
        <f t="shared" si="11"/>
        <v>0</v>
      </c>
      <c r="F65" s="91">
        <v>97158.31</v>
      </c>
      <c r="G65" s="119"/>
      <c r="H65" s="100">
        <f>+F65+E65</f>
        <v>97158.31</v>
      </c>
      <c r="I65" s="21"/>
      <c r="J65" s="21"/>
      <c r="K65" s="35"/>
      <c r="L65" s="5"/>
      <c r="M65" s="96"/>
      <c r="N65" s="91"/>
      <c r="O65" s="91"/>
      <c r="P65" s="91"/>
      <c r="Q65" s="96"/>
      <c r="R65" s="100"/>
      <c r="V65" s="35"/>
      <c r="AA65" s="5" t="s">
        <v>86</v>
      </c>
      <c r="AB65" s="91">
        <f t="shared" si="13"/>
        <v>0</v>
      </c>
      <c r="AC65" s="91">
        <f t="shared" si="13"/>
        <v>0</v>
      </c>
      <c r="AD65" s="91">
        <f t="shared" si="13"/>
        <v>0</v>
      </c>
      <c r="AE65" s="91">
        <f t="shared" si="14"/>
        <v>0</v>
      </c>
      <c r="AF65" s="91">
        <f t="shared" si="15"/>
        <v>97158.31</v>
      </c>
    </row>
    <row r="66" spans="1:33">
      <c r="A66" s="5" t="s">
        <v>101</v>
      </c>
      <c r="B66" s="91">
        <v>-277595.18</v>
      </c>
      <c r="C66" s="91"/>
      <c r="D66" s="96">
        <v>-8927.1200000000008</v>
      </c>
      <c r="E66" s="91">
        <f t="shared" si="11"/>
        <v>-286522.3</v>
      </c>
      <c r="F66" s="96">
        <f>-1766514.75-149236.87</f>
        <v>-1915751.62</v>
      </c>
      <c r="H66" s="100">
        <f>+F66+E66</f>
        <v>-2202273.92</v>
      </c>
      <c r="I66" s="21"/>
      <c r="J66" s="21"/>
      <c r="K66" s="35"/>
      <c r="L66" s="5"/>
      <c r="M66" s="96"/>
      <c r="N66" s="91"/>
      <c r="O66" s="91"/>
      <c r="P66" s="91"/>
      <c r="Q66" s="96"/>
      <c r="R66" s="100"/>
      <c r="V66" s="35"/>
      <c r="AA66" s="5" t="s">
        <v>87</v>
      </c>
      <c r="AB66" s="91">
        <f t="shared" si="13"/>
        <v>-277595.18</v>
      </c>
      <c r="AC66" s="91">
        <f t="shared" si="13"/>
        <v>0</v>
      </c>
      <c r="AD66" s="96">
        <f t="shared" si="13"/>
        <v>-8927.1200000000008</v>
      </c>
      <c r="AE66" s="91">
        <f t="shared" si="14"/>
        <v>-286522.3</v>
      </c>
      <c r="AF66" s="96">
        <f t="shared" si="15"/>
        <v>-1915751.62</v>
      </c>
    </row>
    <row r="67" spans="1:33">
      <c r="A67" s="11" t="s">
        <v>90</v>
      </c>
      <c r="B67" s="96">
        <v>1443821.8</v>
      </c>
      <c r="C67" s="91"/>
      <c r="D67" s="91"/>
      <c r="E67" s="91">
        <f t="shared" si="11"/>
        <v>1443821.8</v>
      </c>
      <c r="F67" s="96">
        <v>14832946</v>
      </c>
      <c r="H67" s="100">
        <f>+F67+E67</f>
        <v>16276767.800000001</v>
      </c>
      <c r="I67" s="21"/>
      <c r="J67" s="21"/>
      <c r="K67" s="35">
        <f>+J67-I67</f>
        <v>0</v>
      </c>
      <c r="L67" s="11" t="s">
        <v>90</v>
      </c>
      <c r="M67" s="96"/>
      <c r="N67" s="91"/>
      <c r="O67" s="91"/>
      <c r="P67" s="91">
        <f>SUM(M67:O67)</f>
        <v>0</v>
      </c>
      <c r="Q67" s="96"/>
      <c r="R67" s="100"/>
      <c r="V67" s="35"/>
      <c r="AA67" s="11" t="s">
        <v>90</v>
      </c>
      <c r="AB67" s="96">
        <f t="shared" si="13"/>
        <v>1443821.8</v>
      </c>
      <c r="AC67" s="91">
        <f t="shared" si="13"/>
        <v>0</v>
      </c>
      <c r="AD67" s="91">
        <f t="shared" si="13"/>
        <v>0</v>
      </c>
      <c r="AE67" s="91">
        <f t="shared" si="14"/>
        <v>1443821.8</v>
      </c>
      <c r="AF67" s="96">
        <f t="shared" si="15"/>
        <v>14832946</v>
      </c>
    </row>
    <row r="68" spans="1:33">
      <c r="A68" s="11" t="s">
        <v>91</v>
      </c>
      <c r="B68" s="96">
        <v>-2903867</v>
      </c>
      <c r="C68" s="96">
        <v>0</v>
      </c>
      <c r="D68" s="96">
        <v>0</v>
      </c>
      <c r="E68" s="91">
        <f t="shared" si="11"/>
        <v>-2903867</v>
      </c>
      <c r="F68" s="96">
        <v>-1925939</v>
      </c>
      <c r="G68" s="98"/>
      <c r="H68" s="98">
        <f>+E68+F68</f>
        <v>-4829806</v>
      </c>
      <c r="I68" s="41"/>
      <c r="J68" s="41"/>
      <c r="K68" s="41"/>
      <c r="L68" s="11" t="s">
        <v>91</v>
      </c>
      <c r="M68" s="96"/>
      <c r="N68" s="96">
        <v>0</v>
      </c>
      <c r="O68" s="96">
        <v>0</v>
      </c>
      <c r="P68" s="91">
        <f>SUM(M68:O68)</f>
        <v>0</v>
      </c>
      <c r="Q68" s="96"/>
      <c r="R68" s="91">
        <f>+P68+Q68</f>
        <v>0</v>
      </c>
      <c r="AA68" s="11" t="s">
        <v>91</v>
      </c>
      <c r="AB68" s="96">
        <f t="shared" si="13"/>
        <v>-2903867</v>
      </c>
      <c r="AC68" s="96">
        <f t="shared" si="13"/>
        <v>0</v>
      </c>
      <c r="AD68" s="96">
        <f t="shared" si="13"/>
        <v>0</v>
      </c>
      <c r="AE68" s="91">
        <f t="shared" si="14"/>
        <v>-2903867</v>
      </c>
      <c r="AF68" s="96">
        <f t="shared" si="15"/>
        <v>-1925939</v>
      </c>
    </row>
    <row r="69" spans="1:33" ht="13.5" thickBot="1">
      <c r="A69" s="16" t="s">
        <v>31</v>
      </c>
      <c r="B69" s="120">
        <f t="shared" ref="B69:I69" si="16">SUM(B60:B68)</f>
        <v>9875388.2900000028</v>
      </c>
      <c r="C69" s="120">
        <f t="shared" si="16"/>
        <v>62703.17</v>
      </c>
      <c r="D69" s="120">
        <f t="shared" si="16"/>
        <v>-1761087</v>
      </c>
      <c r="E69" s="120">
        <f t="shared" si="16"/>
        <v>8177004.4600000009</v>
      </c>
      <c r="F69" s="120">
        <f>SUM(F60:F68)</f>
        <v>63336594.360000007</v>
      </c>
      <c r="G69" s="121"/>
      <c r="H69" s="121">
        <f t="shared" si="16"/>
        <v>71513598.820000023</v>
      </c>
      <c r="I69" s="121">
        <f t="shared" si="16"/>
        <v>71513598.820000008</v>
      </c>
      <c r="J69" s="44">
        <f>SUM(J60:J68)</f>
        <v>71513598.820000023</v>
      </c>
      <c r="K69" s="35"/>
      <c r="L69" s="5" t="s">
        <v>31</v>
      </c>
      <c r="M69" s="120">
        <f t="shared" ref="M69:R69" si="17">SUM(M60:M68)</f>
        <v>-822685.99000000011</v>
      </c>
      <c r="N69" s="120">
        <f t="shared" si="17"/>
        <v>-1546.11</v>
      </c>
      <c r="O69" s="120">
        <f t="shared" si="17"/>
        <v>-1084.8800000000001</v>
      </c>
      <c r="P69" s="120">
        <f t="shared" si="17"/>
        <v>-825316.9800000001</v>
      </c>
      <c r="Q69" s="120">
        <f t="shared" si="17"/>
        <v>-460216.66100000002</v>
      </c>
      <c r="R69" s="120">
        <f t="shared" si="17"/>
        <v>-1285533.6410000001</v>
      </c>
      <c r="AA69" s="16" t="s">
        <v>31</v>
      </c>
      <c r="AB69" s="120">
        <f t="shared" ref="AB69:AE69" si="18">SUM(AB60:AB68)</f>
        <v>10698074.270000001</v>
      </c>
      <c r="AC69" s="120">
        <f t="shared" si="18"/>
        <v>64249.270000000004</v>
      </c>
      <c r="AD69" s="120">
        <f t="shared" si="18"/>
        <v>-1760002.13</v>
      </c>
      <c r="AE69" s="120">
        <f t="shared" si="18"/>
        <v>9002321.410000002</v>
      </c>
      <c r="AF69" s="120">
        <f>SUM(AF60:AF68)</f>
        <v>63796811.039999999</v>
      </c>
    </row>
    <row r="70" spans="1:33" ht="13.5" thickTop="1">
      <c r="A70" s="51"/>
      <c r="B70" s="91"/>
      <c r="C70" s="91"/>
      <c r="D70" s="91"/>
      <c r="E70" s="122" t="s">
        <v>61</v>
      </c>
      <c r="F70" s="91">
        <f>+F10</f>
        <v>199227092.09</v>
      </c>
      <c r="K70" s="35"/>
      <c r="L70" s="5"/>
      <c r="M70" s="91"/>
      <c r="N70" s="91"/>
      <c r="O70" s="91"/>
      <c r="P70" s="122" t="s">
        <v>61</v>
      </c>
      <c r="Q70" s="91">
        <f>+Q10</f>
        <v>4317712.4800000004</v>
      </c>
      <c r="AA70" s="51"/>
      <c r="AB70" s="91"/>
      <c r="AC70" s="91"/>
      <c r="AD70" s="91"/>
      <c r="AE70" s="122" t="s">
        <v>61</v>
      </c>
      <c r="AF70" s="91">
        <f>+AF10</f>
        <v>194909379.61000001</v>
      </c>
    </row>
    <row r="71" spans="1:33">
      <c r="A71" s="5" t="s">
        <v>56</v>
      </c>
      <c r="B71" s="91"/>
      <c r="C71" s="91"/>
      <c r="D71" s="91"/>
      <c r="E71" s="122" t="s">
        <v>60</v>
      </c>
      <c r="F71" s="98">
        <f>+F69+E69</f>
        <v>71513598.820000008</v>
      </c>
      <c r="G71" s="123">
        <f>+F71/F70</f>
        <v>0.35895519063087084</v>
      </c>
      <c r="H71" s="93" t="s">
        <v>62</v>
      </c>
      <c r="I71" s="93" t="s">
        <v>62</v>
      </c>
      <c r="J71" s="93" t="s">
        <v>62</v>
      </c>
      <c r="L71" s="5" t="s">
        <v>56</v>
      </c>
      <c r="M71" s="91"/>
      <c r="N71" s="91"/>
      <c r="O71" s="91"/>
      <c r="P71" s="122" t="s">
        <v>60</v>
      </c>
      <c r="Q71" s="98">
        <f>+Q69+P69</f>
        <v>-1285533.6410000001</v>
      </c>
      <c r="R71" s="123">
        <f>+Q71/Q70</f>
        <v>-0.29773488784968838</v>
      </c>
      <c r="AA71" s="5" t="s">
        <v>56</v>
      </c>
      <c r="AB71" s="91"/>
      <c r="AC71" s="91"/>
      <c r="AD71" s="91"/>
      <c r="AE71" s="122" t="s">
        <v>60</v>
      </c>
      <c r="AF71" s="98">
        <f>+AF69+AE69</f>
        <v>72799132.450000003</v>
      </c>
      <c r="AG71" s="123">
        <f>+AF71/AF70</f>
        <v>0.37350245840228907</v>
      </c>
    </row>
    <row r="72" spans="1:33" ht="13.5" thickBot="1">
      <c r="A72" s="16" t="s">
        <v>78</v>
      </c>
      <c r="B72" s="91"/>
      <c r="C72" s="91"/>
      <c r="D72" s="91"/>
      <c r="E72" s="91" t="s">
        <v>59</v>
      </c>
      <c r="F72" s="120">
        <f>+F70+-F71</f>
        <v>127713493.27</v>
      </c>
      <c r="H72" s="91">
        <f>+H69-F71</f>
        <v>0</v>
      </c>
      <c r="I72" s="46">
        <f>+I69-H69</f>
        <v>0</v>
      </c>
      <c r="J72" s="46">
        <f>+J69-H69</f>
        <v>0</v>
      </c>
      <c r="M72" s="91"/>
      <c r="N72" s="91"/>
      <c r="O72" s="91"/>
      <c r="P72" s="91" t="s">
        <v>59</v>
      </c>
      <c r="Q72" s="120">
        <f>+Q70-Q71</f>
        <v>5603246.1210000003</v>
      </c>
      <c r="R72" s="35"/>
      <c r="AA72" s="16" t="s">
        <v>78</v>
      </c>
      <c r="AB72" s="91"/>
      <c r="AC72" s="91"/>
      <c r="AD72" s="91"/>
      <c r="AE72" s="91" t="s">
        <v>59</v>
      </c>
      <c r="AF72" s="120">
        <f>+AF70+-AF71</f>
        <v>122110247.16000001</v>
      </c>
    </row>
    <row r="73" spans="1:33" ht="13.5" thickTop="1">
      <c r="A73" s="5" t="s">
        <v>79</v>
      </c>
      <c r="B73" s="91" t="s">
        <v>82</v>
      </c>
      <c r="C73" s="91"/>
      <c r="D73" s="91"/>
      <c r="E73" s="91"/>
      <c r="H73" s="91">
        <f>+H69-F71</f>
        <v>0</v>
      </c>
      <c r="L73" s="16" t="s">
        <v>78</v>
      </c>
      <c r="M73" s="91"/>
      <c r="N73" s="91"/>
      <c r="O73" s="91"/>
      <c r="AA73" s="5" t="s">
        <v>79</v>
      </c>
      <c r="AB73" s="91" t="s">
        <v>82</v>
      </c>
      <c r="AC73" s="91"/>
      <c r="AD73" s="91"/>
      <c r="AE73" s="91"/>
      <c r="AF73" s="91"/>
    </row>
    <row r="74" spans="1:33">
      <c r="A74" s="5" t="s">
        <v>80</v>
      </c>
      <c r="B74" s="91"/>
      <c r="C74" s="91"/>
      <c r="D74" s="91"/>
      <c r="H74" s="21" t="s">
        <v>112</v>
      </c>
      <c r="I74" s="35">
        <f>+F71-Q71</f>
        <v>72799132.46100001</v>
      </c>
      <c r="L74" s="5" t="s">
        <v>80</v>
      </c>
      <c r="M74" s="91"/>
      <c r="N74" s="91"/>
      <c r="O74" s="91"/>
      <c r="AA74" s="5" t="s">
        <v>80</v>
      </c>
      <c r="AB74" s="91"/>
      <c r="AC74" s="91"/>
      <c r="AD74" s="91"/>
      <c r="AE74" s="109"/>
      <c r="AF74" s="91"/>
    </row>
    <row r="75" spans="1:33">
      <c r="A75" s="5" t="s">
        <v>81</v>
      </c>
      <c r="H75" s="91"/>
      <c r="I75" s="35"/>
      <c r="J75" s="35"/>
      <c r="L75" s="5" t="s">
        <v>81</v>
      </c>
      <c r="M75" s="98" t="s">
        <v>83</v>
      </c>
      <c r="N75" s="98"/>
      <c r="O75" s="98"/>
      <c r="AA75" s="5" t="s">
        <v>81</v>
      </c>
      <c r="AB75" s="109"/>
      <c r="AC75" s="109"/>
      <c r="AD75" s="109"/>
      <c r="AE75" s="109"/>
      <c r="AF75" s="91"/>
    </row>
    <row r="76" spans="1:33">
      <c r="A76" s="5"/>
      <c r="B76" s="98" t="s">
        <v>83</v>
      </c>
      <c r="C76" s="98"/>
      <c r="D76" s="98"/>
      <c r="H76" s="91"/>
      <c r="I76" s="35"/>
      <c r="J76" s="35"/>
      <c r="AA76" s="5"/>
      <c r="AB76" s="98" t="s">
        <v>83</v>
      </c>
      <c r="AC76" s="98"/>
      <c r="AD76" s="98"/>
      <c r="AE76" s="109"/>
      <c r="AF76" s="91"/>
    </row>
    <row r="77" spans="1:33">
      <c r="B77" s="25"/>
      <c r="C77" s="25"/>
      <c r="D77" s="25"/>
      <c r="H77" s="91"/>
      <c r="I77" s="35"/>
      <c r="J77" s="35"/>
      <c r="AE77" s="109"/>
      <c r="AF77" s="91"/>
    </row>
    <row r="78" spans="1:33" s="5" customFormat="1">
      <c r="E78" s="122"/>
      <c r="F78" s="91"/>
      <c r="G78" s="91"/>
      <c r="H78" s="91"/>
      <c r="I78" s="21"/>
      <c r="J78" s="21"/>
      <c r="M78" s="91"/>
      <c r="N78" s="91"/>
      <c r="O78" s="91"/>
      <c r="P78" s="91"/>
      <c r="Q78" s="91"/>
      <c r="AE78" s="90"/>
      <c r="AF78" s="91"/>
    </row>
    <row r="79" spans="1:33" s="5" customFormat="1">
      <c r="A79" s="5" t="s">
        <v>31</v>
      </c>
      <c r="E79" s="91"/>
      <c r="F79" s="91"/>
      <c r="G79" s="91"/>
      <c r="H79" s="91"/>
      <c r="I79" s="21"/>
      <c r="J79" s="21"/>
      <c r="L79" s="5" t="s">
        <v>31</v>
      </c>
      <c r="M79" s="91"/>
      <c r="N79" s="91"/>
      <c r="O79" s="91"/>
      <c r="P79" s="91"/>
      <c r="AE79" s="90"/>
      <c r="AF79" s="91"/>
    </row>
    <row r="80" spans="1:33" s="5" customFormat="1">
      <c r="A80" s="5" t="s">
        <v>113</v>
      </c>
      <c r="E80" s="91">
        <f>+F71-F80</f>
        <v>-405351.00999999046</v>
      </c>
      <c r="F80" s="91">
        <v>71918949.829999998</v>
      </c>
      <c r="G80" s="91"/>
      <c r="L80" s="5" t="s">
        <v>113</v>
      </c>
      <c r="M80" s="91"/>
      <c r="N80" s="91"/>
      <c r="O80" s="91"/>
      <c r="P80" s="91">
        <f>+Q71-Q80</f>
        <v>-3037.6709999998566</v>
      </c>
      <c r="Q80" s="91">
        <v>-1282495.9700000002</v>
      </c>
      <c r="AE80" s="90"/>
      <c r="AF80" s="91"/>
    </row>
    <row r="81" spans="1:32" s="5" customFormat="1">
      <c r="A81" s="5" t="s">
        <v>114</v>
      </c>
      <c r="B81" s="91"/>
      <c r="C81" s="91"/>
      <c r="D81" s="91"/>
      <c r="E81" s="91"/>
      <c r="F81" s="91">
        <v>72380067.990000024</v>
      </c>
      <c r="G81" s="91"/>
      <c r="L81" s="5" t="s">
        <v>114</v>
      </c>
      <c r="M81" s="91"/>
      <c r="N81" s="91"/>
      <c r="O81" s="91"/>
      <c r="P81" s="91"/>
      <c r="Q81" s="91">
        <v>-821377.80599999998</v>
      </c>
      <c r="AE81" s="90"/>
      <c r="AF81" s="91"/>
    </row>
    <row r="82" spans="1:32" s="5" customFormat="1">
      <c r="A82" s="5" t="s">
        <v>72</v>
      </c>
      <c r="B82" s="91"/>
      <c r="C82" s="91"/>
      <c r="D82" s="91"/>
      <c r="E82" s="91"/>
      <c r="F82" s="105">
        <f>+F80-F81</f>
        <v>-461118.16000002623</v>
      </c>
      <c r="G82" s="91"/>
      <c r="L82" s="5" t="s">
        <v>72</v>
      </c>
      <c r="M82" s="91"/>
      <c r="N82" s="91"/>
      <c r="O82" s="91"/>
      <c r="P82" s="91"/>
      <c r="Q82" s="105">
        <f>+Q80-Q81</f>
        <v>-461118.16400000022</v>
      </c>
      <c r="AE82" s="90"/>
      <c r="AF82" s="91"/>
    </row>
    <row r="83" spans="1:32" s="5" customFormat="1">
      <c r="B83" s="5" t="s">
        <v>115</v>
      </c>
      <c r="C83" s="91"/>
      <c r="D83" s="91"/>
      <c r="F83" s="91"/>
      <c r="G83" s="91"/>
      <c r="H83" s="91"/>
      <c r="I83" s="21"/>
      <c r="J83" s="21"/>
      <c r="M83" s="91"/>
      <c r="N83" s="91"/>
      <c r="O83" s="91"/>
      <c r="P83" s="91"/>
      <c r="Q83" s="91"/>
      <c r="AE83" s="90"/>
      <c r="AF83" s="91"/>
    </row>
    <row r="84" spans="1:32" s="5" customFormat="1">
      <c r="B84" s="91">
        <v>-750000</v>
      </c>
      <c r="C84" s="91"/>
      <c r="D84" s="91"/>
      <c r="F84" s="124">
        <f>+F82/B52</f>
        <v>0.61482421333336834</v>
      </c>
      <c r="G84" s="91"/>
      <c r="H84" s="91"/>
      <c r="I84" s="21"/>
      <c r="J84" s="21"/>
      <c r="M84" s="91"/>
      <c r="N84" s="91"/>
      <c r="O84" s="91"/>
      <c r="P84" s="91"/>
      <c r="Q84" s="91"/>
      <c r="AE84" s="90"/>
      <c r="AF84" s="91"/>
    </row>
    <row r="85" spans="1:32" s="5" customFormat="1">
      <c r="B85" s="5">
        <f>1-0.38575</f>
        <v>0.61424999999999996</v>
      </c>
      <c r="C85" s="91"/>
      <c r="D85" s="91"/>
      <c r="F85" s="124"/>
      <c r="G85" s="91"/>
      <c r="M85" s="91"/>
      <c r="N85" s="91"/>
      <c r="O85" s="91"/>
      <c r="P85" s="91"/>
      <c r="Q85" s="91"/>
      <c r="AE85" s="90"/>
      <c r="AF85" s="91"/>
    </row>
    <row r="86" spans="1:32" s="5" customFormat="1">
      <c r="B86" s="105">
        <f>+B84*B85</f>
        <v>-460687.5</v>
      </c>
      <c r="C86" s="91"/>
      <c r="D86" s="91"/>
      <c r="F86" s="91"/>
      <c r="G86" s="91"/>
      <c r="M86" s="91"/>
      <c r="N86" s="91"/>
      <c r="O86" s="91"/>
      <c r="P86" s="91"/>
      <c r="Q86" s="91"/>
      <c r="AE86" s="90"/>
      <c r="AF86" s="91"/>
    </row>
    <row r="87" spans="1:32" s="5" customFormat="1">
      <c r="C87" s="91"/>
      <c r="D87" s="91"/>
      <c r="E87" s="90"/>
      <c r="F87" s="91"/>
      <c r="G87" s="91"/>
      <c r="M87" s="91"/>
      <c r="N87" s="91"/>
      <c r="O87" s="91"/>
      <c r="P87" s="91"/>
      <c r="Q87" s="91"/>
      <c r="AE87" s="90"/>
      <c r="AF87" s="91"/>
    </row>
    <row r="88" spans="1:32" s="5" customFormat="1">
      <c r="C88" s="91"/>
      <c r="D88" s="91"/>
      <c r="E88" s="90"/>
      <c r="F88" s="91"/>
      <c r="G88" s="91"/>
      <c r="M88" s="91"/>
      <c r="N88" s="91"/>
      <c r="O88" s="91"/>
      <c r="P88" s="91"/>
      <c r="Q88" s="91"/>
      <c r="AE88" s="90"/>
      <c r="AF88" s="91"/>
    </row>
    <row r="89" spans="1:32" s="5" customFormat="1">
      <c r="A89" s="90"/>
      <c r="B89" s="107"/>
      <c r="C89" s="107"/>
      <c r="D89" s="49"/>
      <c r="E89" s="125"/>
      <c r="F89" s="107"/>
      <c r="G89" s="91"/>
      <c r="M89" s="91"/>
      <c r="N89" s="91"/>
      <c r="O89" s="91"/>
      <c r="P89" s="91"/>
      <c r="Q89" s="91"/>
      <c r="AE89" s="90"/>
      <c r="AF89" s="91"/>
    </row>
    <row r="90" spans="1:32" s="5" customFormat="1">
      <c r="A90" s="90"/>
      <c r="B90" s="91"/>
      <c r="C90" s="91"/>
      <c r="D90" s="91"/>
      <c r="E90" s="90" t="s">
        <v>116</v>
      </c>
      <c r="F90" s="91">
        <v>71513598.819999993</v>
      </c>
      <c r="G90" s="91"/>
      <c r="M90" s="91"/>
      <c r="N90" s="91"/>
      <c r="O90" s="91"/>
      <c r="P90" s="91" t="s">
        <v>116</v>
      </c>
      <c r="Q90" s="91">
        <v>-1285533.6399999999</v>
      </c>
      <c r="AE90" s="90"/>
      <c r="AF90" s="91"/>
    </row>
    <row r="91" spans="1:32" s="5" customFormat="1">
      <c r="A91" s="90"/>
      <c r="B91" s="91"/>
      <c r="C91" s="91"/>
      <c r="D91" s="91"/>
      <c r="E91" s="90"/>
      <c r="F91" s="91">
        <f>+F71-F90</f>
        <v>0</v>
      </c>
      <c r="G91" s="91"/>
      <c r="M91" s="91"/>
      <c r="N91" s="91"/>
      <c r="O91" s="91"/>
      <c r="P91" s="91"/>
      <c r="Q91" s="91">
        <f>+Q71-Q90</f>
        <v>-1.0000001639127731E-3</v>
      </c>
      <c r="AE91" s="90"/>
      <c r="AF91" s="91"/>
    </row>
    <row r="92" spans="1:32" s="5" customFormat="1">
      <c r="A92" s="90"/>
      <c r="B92" s="91"/>
      <c r="C92" s="91"/>
      <c r="D92" s="91"/>
      <c r="E92" s="91"/>
      <c r="F92" s="91"/>
      <c r="G92" s="91"/>
      <c r="M92" s="91"/>
      <c r="N92" s="91"/>
      <c r="O92" s="91"/>
      <c r="P92" s="91"/>
      <c r="Q92" s="91"/>
    </row>
    <row r="93" spans="1:32" s="5" customFormat="1">
      <c r="B93" s="90"/>
      <c r="C93" s="90"/>
      <c r="D93" s="90"/>
      <c r="E93" s="90"/>
      <c r="F93" s="91"/>
      <c r="G93" s="91"/>
      <c r="M93" s="91"/>
      <c r="N93" s="91"/>
      <c r="O93" s="91"/>
      <c r="P93" s="91"/>
      <c r="Q93" s="91"/>
    </row>
    <row r="94" spans="1:32" s="5" customFormat="1">
      <c r="B94" s="90"/>
      <c r="C94" s="90"/>
      <c r="D94" s="90"/>
      <c r="E94" s="90"/>
      <c r="F94" s="91"/>
      <c r="G94" s="91"/>
      <c r="M94" s="91"/>
      <c r="N94" s="91"/>
      <c r="O94" s="91"/>
      <c r="P94" s="91"/>
      <c r="Q94" s="91"/>
    </row>
    <row r="95" spans="1:32" s="5" customFormat="1">
      <c r="B95" s="90"/>
      <c r="C95" s="90"/>
      <c r="D95" s="90"/>
      <c r="E95" s="90"/>
      <c r="F95" s="91"/>
      <c r="G95" s="91"/>
      <c r="M95" s="91"/>
      <c r="N95" s="91"/>
      <c r="O95" s="91"/>
      <c r="P95" s="91"/>
      <c r="Q95" s="91"/>
    </row>
    <row r="97" spans="3:4">
      <c r="C97" s="100"/>
      <c r="D97" s="100"/>
    </row>
  </sheetData>
  <pageMargins left="0.75" right="0.25" top="0.25" bottom="0.5" header="0.5" footer="0.25"/>
  <pageSetup scale="70" orientation="portrait" r:id="rId1"/>
  <headerFooter alignWithMargins="0">
    <oddFooter>&amp;L&amp;10&amp;F\&amp;A&amp;R&amp;10&amp;D &amp;T</oddFooter>
  </headerFooter>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AL99"/>
  <sheetViews>
    <sheetView view="pageBreakPreview" topLeftCell="V16" zoomScale="75" zoomScaleNormal="100" zoomScaleSheetLayoutView="75" workbookViewId="0">
      <selection activeCell="AD31" sqref="AD31"/>
    </sheetView>
  </sheetViews>
  <sheetFormatPr defaultRowHeight="12.75"/>
  <cols>
    <col min="1" max="1" width="43.25" style="25" customWidth="1"/>
    <col min="2" max="2" width="17.25" style="109" customWidth="1"/>
    <col min="3" max="3" width="16.875" style="109" customWidth="1"/>
    <col min="4" max="4" width="17" style="109" customWidth="1"/>
    <col min="5" max="5" width="20.625" style="109" customWidth="1"/>
    <col min="6" max="7" width="18.75" style="91" customWidth="1"/>
    <col min="8" max="8" width="19.25" style="25" customWidth="1"/>
    <col min="9" max="9" width="16" style="25" customWidth="1"/>
    <col min="10" max="10" width="22.125" style="25" customWidth="1"/>
    <col min="11" max="11" width="16" style="25" customWidth="1"/>
    <col min="12" max="12" width="40.5" style="25" customWidth="1"/>
    <col min="13" max="13" width="16.125" style="100" customWidth="1"/>
    <col min="14" max="14" width="17.25" style="100" customWidth="1"/>
    <col min="15" max="15" width="15.75" style="100" customWidth="1"/>
    <col min="16" max="16" width="13.875" style="100" bestFit="1" customWidth="1"/>
    <col min="17" max="17" width="18.25" style="100" customWidth="1"/>
    <col min="18" max="18" width="18" style="25" customWidth="1"/>
    <col min="19" max="19" width="14.75" style="25" bestFit="1" customWidth="1"/>
    <col min="20" max="20" width="12.125" style="25" bestFit="1" customWidth="1"/>
    <col min="21" max="21" width="11.125" style="25" customWidth="1"/>
    <col min="22" max="22" width="12.875" style="25" customWidth="1"/>
    <col min="23" max="26" width="9" style="25"/>
    <col min="27" max="27" width="34.875" style="25" customWidth="1"/>
    <col min="28" max="32" width="18.625" style="25" customWidth="1"/>
    <col min="33" max="33" width="15.875" style="25" customWidth="1"/>
    <col min="34" max="34" width="9" style="25"/>
    <col min="35" max="35" width="16.125" style="25" bestFit="1" customWidth="1"/>
    <col min="36" max="16384" width="9" style="25"/>
  </cols>
  <sheetData>
    <row r="1" spans="1:35">
      <c r="A1" s="1" t="s">
        <v>32</v>
      </c>
      <c r="B1" s="87"/>
      <c r="C1" s="87"/>
      <c r="D1" s="87"/>
      <c r="E1" s="87"/>
      <c r="F1" s="88"/>
      <c r="G1" s="88"/>
      <c r="L1" s="1" t="s">
        <v>32</v>
      </c>
      <c r="M1" s="88"/>
      <c r="N1" s="88"/>
      <c r="O1" s="88"/>
      <c r="P1" s="88"/>
      <c r="Q1" s="88"/>
      <c r="AA1" s="1" t="s">
        <v>32</v>
      </c>
      <c r="AB1" s="87"/>
      <c r="AC1" s="87"/>
      <c r="AD1" s="87"/>
      <c r="AE1" s="87"/>
      <c r="AF1" s="88"/>
    </row>
    <row r="2" spans="1:35">
      <c r="A2" s="1" t="s">
        <v>33</v>
      </c>
      <c r="B2" s="87"/>
      <c r="C2" s="87"/>
      <c r="D2" s="87"/>
      <c r="E2" s="87"/>
      <c r="F2" s="88"/>
      <c r="G2" s="88"/>
      <c r="L2" s="1" t="s">
        <v>65</v>
      </c>
      <c r="M2" s="88"/>
      <c r="N2" s="88"/>
      <c r="O2" s="88"/>
      <c r="P2" s="88"/>
      <c r="Q2" s="88"/>
      <c r="AA2" s="1" t="s">
        <v>97</v>
      </c>
      <c r="AB2" s="87"/>
      <c r="AC2" s="87"/>
      <c r="AD2" s="87"/>
      <c r="AE2" s="87"/>
      <c r="AF2" s="88"/>
    </row>
    <row r="3" spans="1:35">
      <c r="A3" s="1" t="s">
        <v>117</v>
      </c>
      <c r="B3" s="87"/>
      <c r="C3" s="87"/>
      <c r="D3" s="87"/>
      <c r="E3" s="87"/>
      <c r="F3" s="88"/>
      <c r="G3" s="88"/>
      <c r="L3" s="1" t="str">
        <f>+A3</f>
        <v>March YTD, 2010</v>
      </c>
      <c r="M3" s="88"/>
      <c r="N3" s="88"/>
      <c r="O3" s="88"/>
      <c r="P3" s="88"/>
      <c r="Q3" s="88"/>
      <c r="AA3" s="1" t="str">
        <f>+A3</f>
        <v>March YTD, 2010</v>
      </c>
      <c r="AB3" s="87"/>
      <c r="AC3" s="87"/>
      <c r="AD3" s="87"/>
      <c r="AE3" s="87"/>
      <c r="AF3" s="88"/>
    </row>
    <row r="4" spans="1:35">
      <c r="A4" s="4" t="s">
        <v>34</v>
      </c>
      <c r="B4" s="87"/>
      <c r="C4" s="87"/>
      <c r="D4" s="87"/>
      <c r="E4" s="87"/>
      <c r="F4" s="88"/>
      <c r="G4" s="88"/>
      <c r="H4" s="31"/>
      <c r="L4" s="4" t="s">
        <v>34</v>
      </c>
      <c r="M4" s="88"/>
      <c r="N4" s="88"/>
      <c r="O4" s="88"/>
      <c r="P4" s="88"/>
      <c r="Q4" s="88"/>
      <c r="R4" s="31"/>
      <c r="AA4" s="4" t="s">
        <v>34</v>
      </c>
      <c r="AB4" s="87"/>
      <c r="AC4" s="87"/>
      <c r="AD4" s="87"/>
      <c r="AE4" s="87"/>
      <c r="AF4" s="88"/>
    </row>
    <row r="5" spans="1:35">
      <c r="A5" s="5" t="s">
        <v>94</v>
      </c>
      <c r="B5" s="90"/>
      <c r="C5" s="90"/>
      <c r="D5" s="90"/>
      <c r="E5" s="90"/>
      <c r="L5" s="5" t="s">
        <v>94</v>
      </c>
      <c r="M5" s="91"/>
      <c r="N5" s="91"/>
      <c r="O5" s="91"/>
      <c r="P5" s="91"/>
      <c r="Q5" s="91"/>
      <c r="AA5" s="5" t="s">
        <v>94</v>
      </c>
      <c r="AB5" s="90"/>
      <c r="AC5" s="90"/>
      <c r="AD5" s="90"/>
      <c r="AE5" s="90"/>
      <c r="AF5" s="91"/>
    </row>
    <row r="6" spans="1:35">
      <c r="A6" s="5"/>
      <c r="B6" s="90"/>
      <c r="C6" s="90"/>
      <c r="D6" s="90"/>
      <c r="E6" s="92" t="s">
        <v>43</v>
      </c>
      <c r="H6" s="31"/>
      <c r="L6" s="5"/>
      <c r="M6" s="91"/>
      <c r="N6" s="91"/>
      <c r="O6" s="91"/>
      <c r="P6" s="93" t="s">
        <v>43</v>
      </c>
      <c r="Q6" s="91"/>
      <c r="R6" s="31"/>
      <c r="AA6" s="5"/>
      <c r="AB6" s="90"/>
      <c r="AC6" s="90"/>
      <c r="AD6" s="90"/>
      <c r="AE6" s="92" t="s">
        <v>43</v>
      </c>
      <c r="AF6" s="91"/>
    </row>
    <row r="7" spans="1:35">
      <c r="A7" s="5"/>
      <c r="B7" s="94" t="s">
        <v>10</v>
      </c>
      <c r="C7" s="94" t="s">
        <v>11</v>
      </c>
      <c r="D7" s="94" t="s">
        <v>12</v>
      </c>
      <c r="E7" s="94" t="s">
        <v>35</v>
      </c>
      <c r="F7" s="95" t="s">
        <v>13</v>
      </c>
      <c r="L7" s="5"/>
      <c r="M7" s="95" t="s">
        <v>10</v>
      </c>
      <c r="N7" s="95" t="s">
        <v>11</v>
      </c>
      <c r="O7" s="95" t="s">
        <v>12</v>
      </c>
      <c r="P7" s="95" t="s">
        <v>35</v>
      </c>
      <c r="Q7" s="95" t="s">
        <v>13</v>
      </c>
      <c r="AA7" s="5"/>
      <c r="AB7" s="94" t="s">
        <v>10</v>
      </c>
      <c r="AC7" s="94" t="s">
        <v>11</v>
      </c>
      <c r="AD7" s="94" t="s">
        <v>12</v>
      </c>
      <c r="AE7" s="94" t="s">
        <v>35</v>
      </c>
      <c r="AF7" s="95" t="s">
        <v>13</v>
      </c>
    </row>
    <row r="8" spans="1:35">
      <c r="A8" s="11" t="s">
        <v>49</v>
      </c>
      <c r="B8" s="91">
        <f>+F8</f>
        <v>44507093.719999999</v>
      </c>
      <c r="C8" s="91">
        <f>+F8</f>
        <v>44507093.719999999</v>
      </c>
      <c r="D8" s="91">
        <f>+B8</f>
        <v>44507093.719999999</v>
      </c>
      <c r="E8" s="90"/>
      <c r="F8" s="91">
        <v>44507093.719999999</v>
      </c>
      <c r="G8" s="96"/>
      <c r="H8" s="97" t="s">
        <v>57</v>
      </c>
      <c r="I8" s="35"/>
      <c r="J8" s="35"/>
      <c r="L8" s="11" t="s">
        <v>49</v>
      </c>
      <c r="M8" s="91">
        <f>+Q8</f>
        <v>862302.76999999979</v>
      </c>
      <c r="N8" s="91">
        <f>+Q8</f>
        <v>862302.76999999979</v>
      </c>
      <c r="O8" s="91">
        <f>+M8</f>
        <v>862302.76999999979</v>
      </c>
      <c r="P8" s="91"/>
      <c r="Q8" s="96">
        <v>862302.76999999979</v>
      </c>
      <c r="R8" s="97" t="s">
        <v>57</v>
      </c>
      <c r="AA8" s="11" t="s">
        <v>49</v>
      </c>
      <c r="AB8" s="91">
        <f>+AF8</f>
        <v>43644790.949999996</v>
      </c>
      <c r="AC8" s="91">
        <f>+AF8</f>
        <v>43644790.949999996</v>
      </c>
      <c r="AD8" s="91">
        <f>+AB8</f>
        <v>43644790.949999996</v>
      </c>
      <c r="AE8" s="90"/>
      <c r="AF8" s="91">
        <f>+F8-Q8</f>
        <v>43644790.949999996</v>
      </c>
    </row>
    <row r="9" spans="1:35">
      <c r="A9" s="12" t="s">
        <v>64</v>
      </c>
      <c r="B9" s="98">
        <f>+F9</f>
        <v>-2593996.96</v>
      </c>
      <c r="C9" s="98">
        <f>+F9</f>
        <v>-2593996.96</v>
      </c>
      <c r="D9" s="98">
        <f>+B9</f>
        <v>-2593996.96</v>
      </c>
      <c r="E9" s="90"/>
      <c r="F9" s="98">
        <v>-2593996.96</v>
      </c>
      <c r="G9" s="96"/>
      <c r="H9" s="97"/>
      <c r="I9" s="35"/>
      <c r="J9" s="35"/>
      <c r="L9" s="12" t="s">
        <v>64</v>
      </c>
      <c r="M9" s="98">
        <f>+Q9</f>
        <v>0</v>
      </c>
      <c r="N9" s="98">
        <f>+Q9</f>
        <v>0</v>
      </c>
      <c r="O9" s="98">
        <f>+M9</f>
        <v>0</v>
      </c>
      <c r="P9" s="91"/>
      <c r="Q9" s="99">
        <v>0</v>
      </c>
      <c r="R9" s="97"/>
      <c r="AA9" s="12" t="s">
        <v>64</v>
      </c>
      <c r="AB9" s="98">
        <f>+AF9</f>
        <v>-2593996.96</v>
      </c>
      <c r="AC9" s="98">
        <f>+AF9</f>
        <v>-2593996.96</v>
      </c>
      <c r="AD9" s="98">
        <f>+AB9</f>
        <v>-2593996.96</v>
      </c>
      <c r="AE9" s="90"/>
      <c r="AF9" s="98">
        <f>+F9-Q9</f>
        <v>-2593996.96</v>
      </c>
    </row>
    <row r="10" spans="1:35">
      <c r="A10" s="14" t="s">
        <v>49</v>
      </c>
      <c r="B10" s="91">
        <f>+B8+B9</f>
        <v>41913096.759999998</v>
      </c>
      <c r="C10" s="91">
        <f>+C8+C9</f>
        <v>41913096.759999998</v>
      </c>
      <c r="D10" s="91">
        <f>+D8+D9</f>
        <v>41913096.759999998</v>
      </c>
      <c r="E10" s="90"/>
      <c r="F10" s="91">
        <f>+F8+F9</f>
        <v>41913096.759999998</v>
      </c>
      <c r="G10" s="96"/>
      <c r="H10" s="97"/>
      <c r="I10" s="35"/>
      <c r="J10" s="35"/>
      <c r="L10" s="14" t="s">
        <v>49</v>
      </c>
      <c r="M10" s="91">
        <f>+M8+M9</f>
        <v>862302.76999999979</v>
      </c>
      <c r="N10" s="91">
        <f>+N8+N9</f>
        <v>862302.76999999979</v>
      </c>
      <c r="O10" s="91">
        <f>+O8+O9</f>
        <v>862302.76999999979</v>
      </c>
      <c r="P10" s="91"/>
      <c r="Q10" s="91">
        <f>+Q8+Q9</f>
        <v>862302.76999999979</v>
      </c>
      <c r="R10" s="97"/>
      <c r="AA10" s="14" t="s">
        <v>49</v>
      </c>
      <c r="AB10" s="91">
        <f>+AB8+AB9</f>
        <v>41050793.989999995</v>
      </c>
      <c r="AC10" s="91">
        <f>+AC8+AC9</f>
        <v>41050793.989999995</v>
      </c>
      <c r="AD10" s="91">
        <f>+AD8+AD9</f>
        <v>41050793.989999995</v>
      </c>
      <c r="AE10" s="90"/>
      <c r="AF10" s="91">
        <f>+AF8+AF9</f>
        <v>41050793.989999995</v>
      </c>
    </row>
    <row r="11" spans="1:35">
      <c r="A11" s="11"/>
      <c r="B11" s="91"/>
      <c r="C11" s="91"/>
      <c r="D11" s="91"/>
      <c r="E11" s="90"/>
      <c r="F11" s="96"/>
      <c r="G11" s="96"/>
      <c r="H11" s="97"/>
      <c r="I11" s="35"/>
      <c r="J11" s="35"/>
      <c r="L11" s="11"/>
      <c r="M11" s="91"/>
      <c r="N11" s="91"/>
      <c r="O11" s="91"/>
      <c r="P11" s="91"/>
      <c r="Q11" s="96"/>
      <c r="R11" s="97"/>
      <c r="AA11" s="11"/>
      <c r="AB11" s="91"/>
      <c r="AC11" s="91"/>
      <c r="AD11" s="91"/>
      <c r="AE11" s="90"/>
      <c r="AF11" s="96"/>
    </row>
    <row r="12" spans="1:35">
      <c r="A12" s="16" t="s">
        <v>14</v>
      </c>
      <c r="B12" s="91"/>
      <c r="C12" s="90"/>
      <c r="D12" s="90"/>
      <c r="E12" s="90"/>
      <c r="H12" s="100"/>
      <c r="I12" s="100">
        <f>1904744.24/12</f>
        <v>158728.68666666668</v>
      </c>
      <c r="J12" s="35" t="s">
        <v>118</v>
      </c>
      <c r="K12" s="35"/>
      <c r="L12" s="16" t="s">
        <v>14</v>
      </c>
      <c r="M12" s="91"/>
      <c r="N12" s="91"/>
      <c r="O12" s="91"/>
      <c r="P12" s="91"/>
      <c r="Q12" s="91"/>
      <c r="AA12" s="16" t="s">
        <v>14</v>
      </c>
      <c r="AB12" s="91"/>
      <c r="AC12" s="90"/>
      <c r="AD12" s="90"/>
      <c r="AE12" s="90"/>
      <c r="AF12" s="91"/>
    </row>
    <row r="13" spans="1:35">
      <c r="A13" s="5" t="s">
        <v>15</v>
      </c>
      <c r="B13" s="90"/>
      <c r="C13" s="90"/>
      <c r="D13" s="90"/>
      <c r="E13" s="90"/>
      <c r="H13" s="35"/>
      <c r="I13" s="100">
        <f>5069990.55/12</f>
        <v>422499.21249999997</v>
      </c>
      <c r="J13" s="35">
        <f>+I13+F24</f>
        <v>-962577.91749999998</v>
      </c>
      <c r="L13" s="5" t="s">
        <v>15</v>
      </c>
      <c r="M13" s="91"/>
      <c r="N13" s="91"/>
      <c r="O13" s="91"/>
      <c r="P13" s="91"/>
      <c r="Q13" s="91"/>
      <c r="R13" s="35"/>
      <c r="AA13" s="5" t="s">
        <v>15</v>
      </c>
      <c r="AB13" s="90"/>
      <c r="AC13" s="90"/>
      <c r="AD13" s="90"/>
      <c r="AE13" s="90"/>
      <c r="AF13" s="91"/>
    </row>
    <row r="14" spans="1:35">
      <c r="A14" s="5" t="s">
        <v>16</v>
      </c>
      <c r="B14" s="91">
        <f>+F14</f>
        <v>476186.08000000007</v>
      </c>
      <c r="C14" s="91">
        <f>+F14</f>
        <v>476186.08000000007</v>
      </c>
      <c r="D14" s="91">
        <f>+F14</f>
        <v>476186.08000000007</v>
      </c>
      <c r="E14" s="91"/>
      <c r="F14" s="91">
        <f>+(7900.26+1896843.98)/12*3+0.02</f>
        <v>476186.08000000007</v>
      </c>
      <c r="H14" s="31" t="s">
        <v>4</v>
      </c>
      <c r="I14" s="91"/>
      <c r="J14" s="91"/>
      <c r="K14" s="5"/>
      <c r="L14" s="5" t="s">
        <v>16</v>
      </c>
      <c r="M14" s="91">
        <f>+Q14</f>
        <v>0</v>
      </c>
      <c r="N14" s="91">
        <f>+Q14</f>
        <v>0</v>
      </c>
      <c r="O14" s="91">
        <f>+Q14</f>
        <v>0</v>
      </c>
      <c r="P14" s="91"/>
      <c r="Q14" s="104">
        <v>0</v>
      </c>
      <c r="R14" s="31" t="s">
        <v>4</v>
      </c>
      <c r="AA14" s="5" t="s">
        <v>16</v>
      </c>
      <c r="AB14" s="91">
        <f>+AF14</f>
        <v>476186.08000000007</v>
      </c>
      <c r="AC14" s="91">
        <f>+AF14</f>
        <v>476186.08000000007</v>
      </c>
      <c r="AD14" s="91">
        <f>+AF14</f>
        <v>476186.08000000007</v>
      </c>
      <c r="AE14" s="91"/>
      <c r="AF14" s="91">
        <f t="shared" ref="AF14:AF19" si="0">+F14-Q14</f>
        <v>476186.08000000007</v>
      </c>
      <c r="AG14" s="31" t="s">
        <v>4</v>
      </c>
      <c r="AI14" s="100">
        <v>33870.720000000001</v>
      </c>
    </row>
    <row r="15" spans="1:35">
      <c r="A15" s="11" t="s">
        <v>1</v>
      </c>
      <c r="B15" s="91">
        <f>+((9358.71+1892236.26)-(7900.26+1896843.98))/12*3-0.06</f>
        <v>-787.3775000000046</v>
      </c>
      <c r="C15" s="91">
        <f>+B15</f>
        <v>-787.3775000000046</v>
      </c>
      <c r="D15" s="91">
        <f>+B15</f>
        <v>-787.3775000000046</v>
      </c>
      <c r="E15" s="91"/>
      <c r="F15" s="91">
        <v>0</v>
      </c>
      <c r="H15" s="31"/>
      <c r="I15" s="5"/>
      <c r="J15" s="91"/>
      <c r="K15" s="5"/>
      <c r="L15" s="11" t="s">
        <v>1</v>
      </c>
      <c r="M15" s="96">
        <v>0</v>
      </c>
      <c r="N15" s="91">
        <f>+M15</f>
        <v>0</v>
      </c>
      <c r="O15" s="91">
        <f>+M15</f>
        <v>0</v>
      </c>
      <c r="P15" s="91"/>
      <c r="Q15" s="96">
        <v>0</v>
      </c>
      <c r="R15" s="31"/>
      <c r="AA15" s="11" t="s">
        <v>1</v>
      </c>
      <c r="AB15" s="91">
        <f>+B15</f>
        <v>-787.3775000000046</v>
      </c>
      <c r="AC15" s="91">
        <f>+AB15</f>
        <v>-787.3775000000046</v>
      </c>
      <c r="AD15" s="91">
        <f>+AB15</f>
        <v>-787.3775000000046</v>
      </c>
      <c r="AE15" s="91"/>
      <c r="AF15" s="91">
        <f t="shared" si="0"/>
        <v>0</v>
      </c>
      <c r="AG15" s="31"/>
      <c r="AI15" s="100">
        <v>9554.9</v>
      </c>
    </row>
    <row r="16" spans="1:35">
      <c r="A16" s="5" t="s">
        <v>17</v>
      </c>
      <c r="B16" s="91">
        <f>+F16</f>
        <v>38783.839999999997</v>
      </c>
      <c r="C16" s="91">
        <f>+F16</f>
        <v>38783.839999999997</v>
      </c>
      <c r="D16" s="91">
        <f>+F16</f>
        <v>38783.839999999997</v>
      </c>
      <c r="E16" s="90"/>
      <c r="F16" s="91">
        <v>38783.839999999997</v>
      </c>
      <c r="H16" s="25" t="s">
        <v>5</v>
      </c>
      <c r="I16" s="21"/>
      <c r="J16" s="91"/>
      <c r="K16" s="5"/>
      <c r="L16" s="5" t="s">
        <v>17</v>
      </c>
      <c r="M16" s="91">
        <f>+Q16</f>
        <v>1436</v>
      </c>
      <c r="N16" s="91">
        <f>+Q16</f>
        <v>1436</v>
      </c>
      <c r="O16" s="91">
        <f>+Q16</f>
        <v>1436</v>
      </c>
      <c r="P16" s="91"/>
      <c r="Q16" s="96">
        <v>1436</v>
      </c>
      <c r="R16" s="25" t="s">
        <v>5</v>
      </c>
      <c r="AA16" s="5" t="s">
        <v>17</v>
      </c>
      <c r="AB16" s="91">
        <f>+AF16</f>
        <v>37347.839999999997</v>
      </c>
      <c r="AC16" s="91">
        <f>+AF16</f>
        <v>37347.839999999997</v>
      </c>
      <c r="AD16" s="91">
        <f>+AF16</f>
        <v>37347.839999999997</v>
      </c>
      <c r="AE16" s="90"/>
      <c r="AF16" s="91">
        <f t="shared" si="0"/>
        <v>37347.839999999997</v>
      </c>
      <c r="AG16" s="25" t="s">
        <v>5</v>
      </c>
      <c r="AI16" s="100">
        <v>-5350041.1500000004</v>
      </c>
    </row>
    <row r="17" spans="1:35">
      <c r="A17" s="11" t="s">
        <v>74</v>
      </c>
      <c r="B17" s="91">
        <f>+F17</f>
        <v>18000</v>
      </c>
      <c r="C17" s="91">
        <f>+F17</f>
        <v>18000</v>
      </c>
      <c r="D17" s="91">
        <f>+F17</f>
        <v>18000</v>
      </c>
      <c r="E17" s="90"/>
      <c r="F17" s="91">
        <f>(72000/12)*3</f>
        <v>18000</v>
      </c>
      <c r="G17" s="96"/>
      <c r="H17" s="31" t="s">
        <v>75</v>
      </c>
      <c r="I17" s="5"/>
      <c r="J17" s="5"/>
      <c r="K17" s="21"/>
      <c r="L17" s="5" t="str">
        <f>+A17</f>
        <v>SYSTEM AIRCRAFT AND CLUB DUES</v>
      </c>
      <c r="M17" s="91">
        <f>+Q17</f>
        <v>0</v>
      </c>
      <c r="N17" s="91">
        <f>+Q17</f>
        <v>0</v>
      </c>
      <c r="O17" s="91">
        <f>+Q17</f>
        <v>0</v>
      </c>
      <c r="P17" s="91"/>
      <c r="Q17" s="91">
        <v>0</v>
      </c>
      <c r="R17" s="25" t="s">
        <v>3</v>
      </c>
      <c r="AA17" s="11" t="s">
        <v>74</v>
      </c>
      <c r="AB17" s="91">
        <f>+AF17</f>
        <v>18000</v>
      </c>
      <c r="AC17" s="91">
        <f>+AF17</f>
        <v>18000</v>
      </c>
      <c r="AD17" s="91">
        <f>+AF17</f>
        <v>18000</v>
      </c>
      <c r="AE17" s="90"/>
      <c r="AF17" s="91">
        <f t="shared" si="0"/>
        <v>18000</v>
      </c>
      <c r="AG17" s="25" t="s">
        <v>3</v>
      </c>
      <c r="AI17" s="100">
        <v>50126.73</v>
      </c>
    </row>
    <row r="18" spans="1:35">
      <c r="A18" s="5" t="s">
        <v>50</v>
      </c>
      <c r="B18" s="91">
        <f>+F18</f>
        <v>31094.6</v>
      </c>
      <c r="C18" s="91">
        <f>+F18</f>
        <v>31094.6</v>
      </c>
      <c r="D18" s="91">
        <f>+F18</f>
        <v>31094.6</v>
      </c>
      <c r="E18" s="90"/>
      <c r="F18" s="91">
        <v>31094.6</v>
      </c>
      <c r="G18" s="96"/>
      <c r="H18" s="25" t="s">
        <v>0</v>
      </c>
      <c r="I18" s="21">
        <f>SUM([4]SOFIA!C9)</f>
        <v>31094.6</v>
      </c>
      <c r="J18" s="21"/>
      <c r="K18" s="5"/>
      <c r="L18" s="5" t="s">
        <v>50</v>
      </c>
      <c r="M18" s="91">
        <f>+Q18</f>
        <v>31094.6</v>
      </c>
      <c r="N18" s="91">
        <f>+Q18</f>
        <v>31094.6</v>
      </c>
      <c r="O18" s="91">
        <f>+Q18</f>
        <v>31094.6</v>
      </c>
      <c r="P18" s="91"/>
      <c r="Q18" s="91">
        <f>+F18</f>
        <v>31094.6</v>
      </c>
      <c r="R18" s="25" t="s">
        <v>0</v>
      </c>
      <c r="AA18" s="5" t="s">
        <v>50</v>
      </c>
      <c r="AB18" s="91">
        <f>+AF18</f>
        <v>0</v>
      </c>
      <c r="AC18" s="91">
        <f>+AF18</f>
        <v>0</v>
      </c>
      <c r="AD18" s="91">
        <f>+AF18</f>
        <v>0</v>
      </c>
      <c r="AE18" s="90"/>
      <c r="AF18" s="91">
        <f t="shared" si="0"/>
        <v>0</v>
      </c>
      <c r="AG18" s="25" t="s">
        <v>0</v>
      </c>
      <c r="AI18" s="100">
        <v>7212816.3499999996</v>
      </c>
    </row>
    <row r="19" spans="1:35">
      <c r="A19" s="5" t="s">
        <v>92</v>
      </c>
      <c r="B19" s="98">
        <f>+F19</f>
        <v>177675</v>
      </c>
      <c r="C19" s="98">
        <f>+F19</f>
        <v>177675</v>
      </c>
      <c r="D19" s="98">
        <f>+F19</f>
        <v>177675</v>
      </c>
      <c r="E19" s="90"/>
      <c r="F19" s="98">
        <f>(710700/12)*3</f>
        <v>177675</v>
      </c>
      <c r="G19" s="96"/>
      <c r="H19" s="25" t="s">
        <v>3</v>
      </c>
      <c r="I19" s="5"/>
      <c r="J19" s="5"/>
      <c r="K19" s="5"/>
      <c r="L19" s="5" t="s">
        <v>18</v>
      </c>
      <c r="M19" s="98">
        <f>+Q19</f>
        <v>177675</v>
      </c>
      <c r="N19" s="98">
        <f>+Q19</f>
        <v>177675</v>
      </c>
      <c r="O19" s="98">
        <f>+Q19</f>
        <v>177675</v>
      </c>
      <c r="P19" s="91"/>
      <c r="Q19" s="98">
        <f>+F19</f>
        <v>177675</v>
      </c>
      <c r="R19" s="25" t="s">
        <v>3</v>
      </c>
      <c r="AA19" s="5" t="s">
        <v>92</v>
      </c>
      <c r="AB19" s="98">
        <f>+AF19</f>
        <v>0</v>
      </c>
      <c r="AC19" s="98">
        <f>+AF19</f>
        <v>0</v>
      </c>
      <c r="AD19" s="98">
        <f>+AF19</f>
        <v>0</v>
      </c>
      <c r="AE19" s="90"/>
      <c r="AF19" s="98">
        <f t="shared" si="0"/>
        <v>0</v>
      </c>
      <c r="AG19" s="25" t="s">
        <v>3</v>
      </c>
      <c r="AI19" s="105">
        <f>SUM(AI14:AI18)</f>
        <v>1956327.5499999998</v>
      </c>
    </row>
    <row r="20" spans="1:35">
      <c r="A20" s="5" t="s">
        <v>19</v>
      </c>
      <c r="B20" s="91">
        <f>SUM(B14:B19)</f>
        <v>740952.14250000007</v>
      </c>
      <c r="C20" s="91">
        <f>SUM(C14:C19)</f>
        <v>740952.14250000007</v>
      </c>
      <c r="D20" s="91">
        <f>SUM(D14:D19)</f>
        <v>740952.14250000007</v>
      </c>
      <c r="E20" s="90"/>
      <c r="F20" s="91">
        <f>SUM(F13:F19)</f>
        <v>741739.52000000002</v>
      </c>
      <c r="H20" s="35">
        <f>+F20+F28</f>
        <v>-2005207.1400000001</v>
      </c>
      <c r="I20" s="5"/>
      <c r="J20" s="5"/>
      <c r="K20" s="5"/>
      <c r="L20" s="5" t="s">
        <v>19</v>
      </c>
      <c r="M20" s="91">
        <f>SUM(M14:M19)</f>
        <v>210205.6</v>
      </c>
      <c r="N20" s="91">
        <f>SUM(N14:N19)</f>
        <v>210205.6</v>
      </c>
      <c r="O20" s="91">
        <f>SUM(O14:O19)</f>
        <v>210205.6</v>
      </c>
      <c r="P20" s="91"/>
      <c r="Q20" s="91">
        <f>SUM(Q13:Q19)</f>
        <v>210205.6</v>
      </c>
      <c r="R20" s="35">
        <f>+Q20+Q28</f>
        <v>-1174871.5299999998</v>
      </c>
      <c r="S20" s="35"/>
      <c r="AA20" s="5" t="s">
        <v>19</v>
      </c>
      <c r="AB20" s="91">
        <f>SUM(AB14:AB19)</f>
        <v>530746.5425000001</v>
      </c>
      <c r="AC20" s="91">
        <f>SUM(AC14:AC19)</f>
        <v>530746.5425000001</v>
      </c>
      <c r="AD20" s="91">
        <f>SUM(AD14:AD19)</f>
        <v>530746.5425000001</v>
      </c>
      <c r="AE20" s="90"/>
      <c r="AF20" s="91">
        <f>SUM(AF13:AF19)</f>
        <v>531533.92000000004</v>
      </c>
      <c r="AG20" s="35">
        <f>+AF20+AF28</f>
        <v>-830335.61</v>
      </c>
    </row>
    <row r="21" spans="1:35">
      <c r="A21" s="5"/>
      <c r="B21" s="90"/>
      <c r="C21" s="90"/>
      <c r="D21" s="90"/>
      <c r="E21" s="90"/>
      <c r="H21" s="46">
        <f>-710366.09-1294841.05</f>
        <v>-2005207.1400000001</v>
      </c>
      <c r="I21" s="5"/>
      <c r="J21" s="21"/>
      <c r="K21" s="5"/>
      <c r="L21" s="5"/>
      <c r="M21" s="91"/>
      <c r="N21" s="91"/>
      <c r="O21" s="91"/>
      <c r="P21" s="91"/>
      <c r="Q21" s="91"/>
      <c r="R21" s="106">
        <f>210205.6-1385077.13</f>
        <v>-1174871.5299999998</v>
      </c>
      <c r="AA21" s="5"/>
      <c r="AB21" s="90"/>
      <c r="AC21" s="90"/>
      <c r="AD21" s="90"/>
      <c r="AE21" s="90"/>
      <c r="AF21" s="91"/>
      <c r="AG21" s="106">
        <f>-677161.35+412527.55</f>
        <v>-264633.8</v>
      </c>
    </row>
    <row r="22" spans="1:35">
      <c r="A22" s="16" t="s">
        <v>20</v>
      </c>
      <c r="B22" s="90"/>
      <c r="C22" s="90"/>
      <c r="D22" s="90"/>
      <c r="E22" s="90"/>
      <c r="H22" s="35">
        <f>H21-H20</f>
        <v>0</v>
      </c>
      <c r="I22" s="5"/>
      <c r="J22" s="5"/>
      <c r="K22" s="5"/>
      <c r="L22" s="16" t="s">
        <v>20</v>
      </c>
      <c r="M22" s="91"/>
      <c r="N22" s="91"/>
      <c r="O22" s="91"/>
      <c r="P22" s="91"/>
      <c r="Q22" s="91"/>
      <c r="R22" s="35">
        <f>R20-R21</f>
        <v>0</v>
      </c>
      <c r="AA22" s="16" t="s">
        <v>20</v>
      </c>
      <c r="AB22" s="90"/>
      <c r="AC22" s="90"/>
      <c r="AD22" s="90"/>
      <c r="AE22" s="90"/>
      <c r="AF22" s="91"/>
      <c r="AG22" s="35">
        <f>AG20-AG21</f>
        <v>-565701.81000000006</v>
      </c>
    </row>
    <row r="23" spans="1:35">
      <c r="A23" s="5" t="s">
        <v>21</v>
      </c>
      <c r="B23" s="91">
        <f>+F23</f>
        <v>-385950</v>
      </c>
      <c r="C23" s="91">
        <f>+F23</f>
        <v>-385950</v>
      </c>
      <c r="D23" s="91">
        <f>+F23</f>
        <v>-385950</v>
      </c>
      <c r="E23" s="90"/>
      <c r="F23" s="91">
        <f>-128650*3</f>
        <v>-385950</v>
      </c>
      <c r="G23" s="104"/>
      <c r="H23" s="37" t="s">
        <v>6</v>
      </c>
      <c r="I23" s="21">
        <f>SUM([4]SOFIA!C2,[4]SOFIA!C3,[4]SOFIA!C4,[4]SOFIA!C5)</f>
        <v>-385950</v>
      </c>
      <c r="J23" s="21"/>
      <c r="K23" s="5"/>
      <c r="L23" s="5" t="s">
        <v>21</v>
      </c>
      <c r="M23" s="91">
        <f>+Q23</f>
        <v>0</v>
      </c>
      <c r="N23" s="91">
        <f>+Q23</f>
        <v>0</v>
      </c>
      <c r="O23" s="91">
        <f>+Q23</f>
        <v>0</v>
      </c>
      <c r="P23" s="91"/>
      <c r="Q23" s="104">
        <v>0</v>
      </c>
      <c r="R23" s="37" t="s">
        <v>6</v>
      </c>
      <c r="AA23" s="5" t="s">
        <v>21</v>
      </c>
      <c r="AB23" s="91">
        <f>+AF23</f>
        <v>-385950</v>
      </c>
      <c r="AC23" s="91">
        <f>+AF23</f>
        <v>-385950</v>
      </c>
      <c r="AD23" s="91">
        <f>+AF23</f>
        <v>-385950</v>
      </c>
      <c r="AE23" s="90"/>
      <c r="AF23" s="91">
        <f t="shared" ref="AF23:AF27" si="1">+F23-Q23</f>
        <v>-385950</v>
      </c>
      <c r="AG23" s="37" t="s">
        <v>6</v>
      </c>
    </row>
    <row r="24" spans="1:35">
      <c r="A24" s="5" t="s">
        <v>22</v>
      </c>
      <c r="B24" s="91">
        <f>+F24</f>
        <v>-1385077.13</v>
      </c>
      <c r="C24" s="91">
        <f>+F24</f>
        <v>-1385077.13</v>
      </c>
      <c r="D24" s="91">
        <f>+F24</f>
        <v>-1385077.13</v>
      </c>
      <c r="E24" s="91"/>
      <c r="F24" s="91">
        <f>-1385077.13</f>
        <v>-1385077.13</v>
      </c>
      <c r="G24" s="104"/>
      <c r="H24" s="37" t="s">
        <v>55</v>
      </c>
      <c r="I24" s="21">
        <f>SUM([4]SOFIA!C7,[4]SOFIA!C8)</f>
        <v>-1385077.13</v>
      </c>
      <c r="J24" s="21"/>
      <c r="K24" s="21"/>
      <c r="L24" s="5" t="s">
        <v>22</v>
      </c>
      <c r="M24" s="91">
        <f>+Q24</f>
        <v>-1385077.13</v>
      </c>
      <c r="N24" s="91">
        <f>+Q24</f>
        <v>-1385077.13</v>
      </c>
      <c r="O24" s="91">
        <f>+Q24</f>
        <v>-1385077.13</v>
      </c>
      <c r="P24" s="91"/>
      <c r="Q24" s="91">
        <f>+F24</f>
        <v>-1385077.13</v>
      </c>
      <c r="R24" s="37" t="s">
        <v>55</v>
      </c>
      <c r="AA24" s="5" t="s">
        <v>22</v>
      </c>
      <c r="AB24" s="91">
        <f>+AF24</f>
        <v>0</v>
      </c>
      <c r="AC24" s="91">
        <f>+AF24</f>
        <v>0</v>
      </c>
      <c r="AD24" s="91">
        <f>+AF24</f>
        <v>0</v>
      </c>
      <c r="AE24" s="91"/>
      <c r="AF24" s="91">
        <f>+F24-Q24</f>
        <v>0</v>
      </c>
      <c r="AG24" s="37" t="s">
        <v>55</v>
      </c>
    </row>
    <row r="25" spans="1:35">
      <c r="A25" s="5" t="s">
        <v>23</v>
      </c>
      <c r="B25" s="91">
        <f>+F25</f>
        <v>-250919.53</v>
      </c>
      <c r="C25" s="91">
        <f>+F25</f>
        <v>-250919.53</v>
      </c>
      <c r="D25" s="91">
        <f>+F25</f>
        <v>-250919.53</v>
      </c>
      <c r="E25" s="90"/>
      <c r="F25" s="91">
        <f>-ROUND((1040004/12*3),0)+9081.47</f>
        <v>-250919.53</v>
      </c>
      <c r="G25" s="96"/>
      <c r="H25" s="38">
        <v>92600402</v>
      </c>
      <c r="I25" s="21">
        <f>SUM([4]SOFIA!C10)</f>
        <v>-250919.53</v>
      </c>
      <c r="J25" s="21"/>
      <c r="K25" s="5"/>
      <c r="L25" s="5" t="s">
        <v>23</v>
      </c>
      <c r="M25" s="91">
        <f>+Q25</f>
        <v>0</v>
      </c>
      <c r="N25" s="91">
        <f>+Q25</f>
        <v>0</v>
      </c>
      <c r="O25" s="91">
        <f>+Q25</f>
        <v>0</v>
      </c>
      <c r="P25" s="91"/>
      <c r="Q25" s="96">
        <v>0</v>
      </c>
      <c r="R25" s="38">
        <v>92600211</v>
      </c>
      <c r="AA25" s="5" t="s">
        <v>23</v>
      </c>
      <c r="AB25" s="91">
        <f>+AF25</f>
        <v>-250919.53</v>
      </c>
      <c r="AC25" s="91">
        <f>+AF25</f>
        <v>-250919.53</v>
      </c>
      <c r="AD25" s="91">
        <f>+AF25</f>
        <v>-250919.53</v>
      </c>
      <c r="AE25" s="90"/>
      <c r="AF25" s="91">
        <f t="shared" si="1"/>
        <v>-250919.53</v>
      </c>
      <c r="AG25" s="38">
        <v>92600211</v>
      </c>
    </row>
    <row r="26" spans="1:35">
      <c r="A26" s="5" t="s">
        <v>27</v>
      </c>
      <c r="B26" s="91">
        <v>0</v>
      </c>
      <c r="C26" s="96">
        <v>0</v>
      </c>
      <c r="D26" s="91">
        <v>0</v>
      </c>
      <c r="E26" s="90"/>
      <c r="F26" s="91">
        <v>0</v>
      </c>
      <c r="G26" s="96"/>
      <c r="H26" s="31" t="s">
        <v>76</v>
      </c>
      <c r="I26" s="21">
        <f>SUM([4]SOFIA!C6)</f>
        <v>0</v>
      </c>
      <c r="J26" s="21"/>
      <c r="K26" s="5"/>
      <c r="L26" s="5" t="s">
        <v>27</v>
      </c>
      <c r="M26" s="91">
        <v>0</v>
      </c>
      <c r="N26" s="96">
        <v>0</v>
      </c>
      <c r="O26" s="91">
        <v>0</v>
      </c>
      <c r="P26" s="91"/>
      <c r="Q26" s="91">
        <f>+F26</f>
        <v>0</v>
      </c>
      <c r="R26" s="38">
        <v>41900012</v>
      </c>
      <c r="AA26" s="5" t="s">
        <v>27</v>
      </c>
      <c r="AB26" s="91">
        <v>0</v>
      </c>
      <c r="AC26" s="96">
        <v>0</v>
      </c>
      <c r="AD26" s="91">
        <v>0</v>
      </c>
      <c r="AE26" s="90"/>
      <c r="AF26" s="91">
        <f t="shared" si="1"/>
        <v>0</v>
      </c>
      <c r="AG26" s="38">
        <v>41900012</v>
      </c>
    </row>
    <row r="27" spans="1:35">
      <c r="A27" s="5" t="s">
        <v>24</v>
      </c>
      <c r="B27" s="98">
        <f>+F27</f>
        <v>-725000</v>
      </c>
      <c r="C27" s="98">
        <v>0</v>
      </c>
      <c r="D27" s="98">
        <v>0</v>
      </c>
      <c r="E27" s="90"/>
      <c r="F27" s="98">
        <f>-((6900000-4000000)/12)*3</f>
        <v>-725000</v>
      </c>
      <c r="G27" s="96"/>
      <c r="H27" s="25" t="s">
        <v>3</v>
      </c>
      <c r="I27" s="5"/>
      <c r="J27" s="5"/>
      <c r="K27" s="5"/>
      <c r="L27" s="5" t="s">
        <v>24</v>
      </c>
      <c r="M27" s="98">
        <f>+Q27</f>
        <v>0</v>
      </c>
      <c r="N27" s="98">
        <v>0</v>
      </c>
      <c r="O27" s="98">
        <v>0</v>
      </c>
      <c r="P27" s="91"/>
      <c r="Q27" s="99">
        <v>0</v>
      </c>
      <c r="R27" s="25" t="s">
        <v>3</v>
      </c>
      <c r="AA27" s="5" t="s">
        <v>24</v>
      </c>
      <c r="AB27" s="98">
        <f>+AF27</f>
        <v>-725000</v>
      </c>
      <c r="AC27" s="98">
        <v>0</v>
      </c>
      <c r="AD27" s="98">
        <v>0</v>
      </c>
      <c r="AE27" s="90"/>
      <c r="AF27" s="98">
        <f t="shared" si="1"/>
        <v>-725000</v>
      </c>
      <c r="AG27" s="25" t="s">
        <v>3</v>
      </c>
    </row>
    <row r="28" spans="1:35">
      <c r="A28" s="5" t="s">
        <v>19</v>
      </c>
      <c r="B28" s="91">
        <f>SUM(B23:B27)</f>
        <v>-2746946.66</v>
      </c>
      <c r="C28" s="91">
        <f>SUM(C23:C27)</f>
        <v>-2021946.66</v>
      </c>
      <c r="D28" s="91">
        <f>SUM(D23:D27)</f>
        <v>-2021946.66</v>
      </c>
      <c r="E28" s="90"/>
      <c r="F28" s="91">
        <f>SUM(F23:F27)</f>
        <v>-2746946.66</v>
      </c>
      <c r="H28" s="35"/>
      <c r="I28" s="5"/>
      <c r="J28" s="49"/>
      <c r="K28" s="107"/>
      <c r="L28" s="5" t="s">
        <v>19</v>
      </c>
      <c r="M28" s="91">
        <f>SUM(M23:M27)</f>
        <v>-1385077.13</v>
      </c>
      <c r="N28" s="91">
        <f>SUM(N23:N27)</f>
        <v>-1385077.13</v>
      </c>
      <c r="O28" s="91">
        <f>SUM(O23:O27)</f>
        <v>-1385077.13</v>
      </c>
      <c r="P28" s="91"/>
      <c r="Q28" s="91">
        <f>SUM(Q23:Q27)</f>
        <v>-1385077.13</v>
      </c>
      <c r="R28" s="35"/>
      <c r="AA28" s="5" t="s">
        <v>19</v>
      </c>
      <c r="AB28" s="91">
        <f>SUM(AB23:AB27)</f>
        <v>-1361869.53</v>
      </c>
      <c r="AC28" s="91">
        <f>SUM(AC23:AC27)</f>
        <v>-636869.53</v>
      </c>
      <c r="AD28" s="91">
        <f>SUM(AD23:AD27)</f>
        <v>-636869.53</v>
      </c>
      <c r="AE28" s="90"/>
      <c r="AF28" s="91">
        <f>SUM(AF23:AF27)</f>
        <v>-1361869.53</v>
      </c>
      <c r="AG28" s="35"/>
    </row>
    <row r="29" spans="1:35">
      <c r="A29" s="5"/>
      <c r="B29" s="91"/>
      <c r="C29" s="91"/>
      <c r="D29" s="91"/>
      <c r="E29" s="90"/>
      <c r="I29" s="5"/>
      <c r="J29" s="91"/>
      <c r="K29" s="91"/>
      <c r="L29" s="5"/>
      <c r="M29" s="91"/>
      <c r="N29" s="91"/>
      <c r="O29" s="91"/>
      <c r="P29" s="91"/>
      <c r="Q29" s="91"/>
      <c r="AA29" s="5"/>
      <c r="AB29" s="91"/>
      <c r="AC29" s="91"/>
      <c r="AD29" s="91"/>
      <c r="AE29" s="90"/>
      <c r="AF29" s="91"/>
    </row>
    <row r="30" spans="1:35">
      <c r="A30" s="16" t="s">
        <v>36</v>
      </c>
      <c r="B30" s="96"/>
      <c r="C30" s="90"/>
      <c r="D30" s="90"/>
      <c r="E30" s="90"/>
      <c r="I30" s="5"/>
      <c r="J30" s="91"/>
      <c r="K30" s="91"/>
      <c r="L30" s="16" t="s">
        <v>36</v>
      </c>
      <c r="M30" s="91"/>
      <c r="N30" s="91"/>
      <c r="O30" s="91"/>
      <c r="P30" s="91"/>
      <c r="Q30" s="91"/>
      <c r="AA30" s="16" t="s">
        <v>36</v>
      </c>
      <c r="AB30" s="96"/>
      <c r="AC30" s="90"/>
      <c r="AD30" s="90"/>
      <c r="AE30" s="90"/>
      <c r="AF30" s="91"/>
    </row>
    <row r="31" spans="1:35">
      <c r="A31" s="5" t="s">
        <v>48</v>
      </c>
      <c r="B31" s="96">
        <f>-16942241.16-2046748.35-1215436.11</f>
        <v>-20204425.620000001</v>
      </c>
      <c r="C31" s="91">
        <f>+B31</f>
        <v>-20204425.620000001</v>
      </c>
      <c r="D31" s="91">
        <f>+B31</f>
        <v>-20204425.620000001</v>
      </c>
      <c r="E31" s="108"/>
      <c r="F31" s="91">
        <v>-16942241.16</v>
      </c>
      <c r="H31" s="25" t="s">
        <v>4</v>
      </c>
      <c r="I31" s="91"/>
      <c r="J31" s="91"/>
      <c r="K31" s="91"/>
      <c r="L31" s="5" t="s">
        <v>48</v>
      </c>
      <c r="M31" s="91">
        <f>+Q31</f>
        <v>0</v>
      </c>
      <c r="N31" s="91">
        <f>+Q31</f>
        <v>0</v>
      </c>
      <c r="O31" s="91">
        <f>+Q31</f>
        <v>0</v>
      </c>
      <c r="P31" s="91"/>
      <c r="Q31" s="96">
        <v>0</v>
      </c>
      <c r="R31" s="25" t="s">
        <v>4</v>
      </c>
      <c r="AA31" s="5" t="s">
        <v>48</v>
      </c>
      <c r="AB31" s="96">
        <f>+B31</f>
        <v>-20204425.620000001</v>
      </c>
      <c r="AC31" s="91">
        <f>+AB31</f>
        <v>-20204425.620000001</v>
      </c>
      <c r="AD31" s="91">
        <f>+AB31</f>
        <v>-20204425.620000001</v>
      </c>
      <c r="AE31" s="108"/>
      <c r="AF31" s="91">
        <f t="shared" ref="AF31:AF33" si="2">+F31-Q31</f>
        <v>-16942241.16</v>
      </c>
      <c r="AG31" s="25" t="s">
        <v>4</v>
      </c>
    </row>
    <row r="32" spans="1:35">
      <c r="A32" s="11" t="s">
        <v>2</v>
      </c>
      <c r="B32" s="110">
        <v>0</v>
      </c>
      <c r="C32" s="91"/>
      <c r="D32" s="91">
        <f>+C32</f>
        <v>0</v>
      </c>
      <c r="H32" s="25" t="s">
        <v>4</v>
      </c>
      <c r="I32" s="5"/>
      <c r="J32" s="91"/>
      <c r="K32" s="91"/>
      <c r="L32" s="11" t="s">
        <v>2</v>
      </c>
      <c r="M32" s="110">
        <v>0</v>
      </c>
      <c r="N32" s="91"/>
      <c r="O32" s="91">
        <f>+N32</f>
        <v>0</v>
      </c>
      <c r="P32" s="91"/>
      <c r="Q32" s="91"/>
      <c r="R32" s="25" t="s">
        <v>4</v>
      </c>
      <c r="AA32" s="11" t="s">
        <v>2</v>
      </c>
      <c r="AB32" s="91"/>
      <c r="AC32" s="91"/>
      <c r="AD32" s="91"/>
      <c r="AE32" s="109"/>
      <c r="AF32" s="91">
        <f t="shared" si="2"/>
        <v>0</v>
      </c>
      <c r="AG32" s="25" t="s">
        <v>4</v>
      </c>
    </row>
    <row r="33" spans="1:33">
      <c r="A33" s="5" t="s">
        <v>37</v>
      </c>
      <c r="B33" s="98">
        <f>+F33</f>
        <v>9300143</v>
      </c>
      <c r="C33" s="98">
        <f>+F33</f>
        <v>9300143</v>
      </c>
      <c r="D33" s="98">
        <f>+F33</f>
        <v>9300143</v>
      </c>
      <c r="E33" s="90"/>
      <c r="F33" s="98">
        <v>9300143</v>
      </c>
      <c r="H33" s="25" t="s">
        <v>7</v>
      </c>
      <c r="I33" s="5"/>
      <c r="J33" s="91"/>
      <c r="K33" s="91"/>
      <c r="L33" s="5" t="s">
        <v>37</v>
      </c>
      <c r="M33" s="98">
        <f>+Q33</f>
        <v>9401.8799999999992</v>
      </c>
      <c r="N33" s="98">
        <f>+Q33</f>
        <v>9401.8799999999992</v>
      </c>
      <c r="O33" s="98">
        <f>+Q33</f>
        <v>9401.8799999999992</v>
      </c>
      <c r="P33" s="91"/>
      <c r="Q33" s="99">
        <v>9401.8799999999992</v>
      </c>
      <c r="R33" s="25" t="s">
        <v>7</v>
      </c>
      <c r="AA33" s="5" t="s">
        <v>37</v>
      </c>
      <c r="AB33" s="98">
        <f>+AF33</f>
        <v>9290741.1199999992</v>
      </c>
      <c r="AC33" s="98">
        <f>+AB33</f>
        <v>9290741.1199999992</v>
      </c>
      <c r="AD33" s="98">
        <f>+AB33</f>
        <v>9290741.1199999992</v>
      </c>
      <c r="AE33" s="90"/>
      <c r="AF33" s="98">
        <f t="shared" si="2"/>
        <v>9290741.1199999992</v>
      </c>
      <c r="AG33" s="25" t="s">
        <v>7</v>
      </c>
    </row>
    <row r="34" spans="1:33">
      <c r="A34" s="5" t="s">
        <v>38</v>
      </c>
      <c r="B34" s="91">
        <f>SUM(B31:B33)</f>
        <v>-10904282.620000001</v>
      </c>
      <c r="C34" s="91">
        <f>SUM(C31:C33)</f>
        <v>-10904282.620000001</v>
      </c>
      <c r="D34" s="91">
        <f>SUM(D31:D33)</f>
        <v>-10904282.620000001</v>
      </c>
      <c r="E34" s="90"/>
      <c r="F34" s="91">
        <f>SUM(F31:F33)</f>
        <v>-7642098.1600000001</v>
      </c>
      <c r="H34" s="100">
        <v>-61494363.600000001</v>
      </c>
      <c r="I34" s="21"/>
      <c r="J34" s="91"/>
      <c r="K34" s="91"/>
      <c r="L34" s="5" t="s">
        <v>38</v>
      </c>
      <c r="M34" s="91">
        <f>SUM(M31:M33)</f>
        <v>9401.8799999999992</v>
      </c>
      <c r="N34" s="91">
        <f>SUM(N31:N33)</f>
        <v>9401.8799999999992</v>
      </c>
      <c r="O34" s="91">
        <f>SUM(O31:O33)</f>
        <v>9401.8799999999992</v>
      </c>
      <c r="P34" s="91"/>
      <c r="Q34" s="91">
        <f>SUM(Q31:Q33)</f>
        <v>9401.8799999999992</v>
      </c>
      <c r="R34" s="91"/>
      <c r="AA34" s="5" t="s">
        <v>38</v>
      </c>
      <c r="AB34" s="91">
        <f>SUM(AB31:AB33)</f>
        <v>-10913684.500000002</v>
      </c>
      <c r="AC34" s="91">
        <f>SUM(AC31:AC33)</f>
        <v>-10913684.500000002</v>
      </c>
      <c r="AD34" s="91">
        <f>SUM(AD31:AD33)</f>
        <v>-10913684.500000002</v>
      </c>
      <c r="AE34" s="90"/>
      <c r="AF34" s="91">
        <f>SUM(AF31:AF33)</f>
        <v>-7651500.040000001</v>
      </c>
      <c r="AG34" s="91"/>
    </row>
    <row r="35" spans="1:33">
      <c r="A35" s="91"/>
      <c r="B35" s="98"/>
      <c r="C35" s="111"/>
      <c r="D35" s="111"/>
      <c r="E35" s="90"/>
      <c r="F35" s="98"/>
      <c r="H35" s="100">
        <v>-6282514.3700000001</v>
      </c>
      <c r="I35" s="5"/>
      <c r="J35" s="91"/>
      <c r="K35" s="91"/>
      <c r="L35" s="91"/>
      <c r="M35" s="98"/>
      <c r="N35" s="98"/>
      <c r="O35" s="98"/>
      <c r="P35" s="91"/>
      <c r="Q35" s="98"/>
      <c r="AA35" s="91"/>
      <c r="AB35" s="98"/>
      <c r="AC35" s="111"/>
      <c r="AD35" s="111"/>
      <c r="AE35" s="90"/>
      <c r="AF35" s="98"/>
    </row>
    <row r="36" spans="1:33">
      <c r="A36" s="20" t="s">
        <v>47</v>
      </c>
      <c r="B36" s="91">
        <f>+B28+B20+B34+B10</f>
        <v>29002819.622499995</v>
      </c>
      <c r="C36" s="91">
        <f>+C28+C20+C34+C10</f>
        <v>29727819.622499995</v>
      </c>
      <c r="D36" s="91">
        <f>+D28+D20+D34+D10</f>
        <v>29727819.622499995</v>
      </c>
      <c r="E36" s="90"/>
      <c r="F36" s="91">
        <f>+F28+F20+F34+F10</f>
        <v>32265791.459999997</v>
      </c>
      <c r="H36" s="100">
        <v>-1472928.06</v>
      </c>
      <c r="I36" s="5"/>
      <c r="J36" s="21"/>
      <c r="K36" s="91"/>
      <c r="L36" s="20" t="s">
        <v>47</v>
      </c>
      <c r="M36" s="91">
        <f>+M28+M20+M34+M10</f>
        <v>-303166.88000000012</v>
      </c>
      <c r="N36" s="91">
        <f>+N28+N20+N34+N10</f>
        <v>-303166.88000000012</v>
      </c>
      <c r="O36" s="91">
        <f>+O28+O20+O34+O10</f>
        <v>-303166.88000000012</v>
      </c>
      <c r="P36" s="91"/>
      <c r="Q36" s="91">
        <f>+Q28+Q20+Q34+Q10</f>
        <v>-303166.88000000012</v>
      </c>
      <c r="R36" s="100"/>
      <c r="AA36" s="20" t="s">
        <v>47</v>
      </c>
      <c r="AB36" s="91">
        <f>+AB28+AB20+AB34+AB10</f>
        <v>29305986.50249999</v>
      </c>
      <c r="AC36" s="91">
        <f>+AC28+AC20+AC34+AC10</f>
        <v>30030986.50249999</v>
      </c>
      <c r="AD36" s="91">
        <f>+AD28+AD20+AD34+AD10</f>
        <v>30030986.50249999</v>
      </c>
      <c r="AE36" s="90"/>
      <c r="AF36" s="91">
        <f>+AF28+AF20+AF34+AF10</f>
        <v>32568958.339999996</v>
      </c>
      <c r="AG36" s="100"/>
    </row>
    <row r="37" spans="1:33">
      <c r="A37" s="21"/>
      <c r="B37" s="91"/>
      <c r="C37" s="91"/>
      <c r="D37" s="91"/>
      <c r="E37" s="90"/>
      <c r="H37" s="35">
        <f>SUM(H34:H36)</f>
        <v>-69249806.030000001</v>
      </c>
      <c r="I37" s="5"/>
      <c r="J37" s="49"/>
      <c r="K37" s="107"/>
      <c r="L37" s="21"/>
      <c r="M37" s="91"/>
      <c r="N37" s="91"/>
      <c r="O37" s="91"/>
      <c r="P37" s="91"/>
      <c r="Q37" s="91"/>
      <c r="AA37" s="21"/>
      <c r="AB37" s="91"/>
      <c r="AC37" s="91"/>
      <c r="AD37" s="91"/>
      <c r="AE37" s="90"/>
      <c r="AF37" s="91"/>
    </row>
    <row r="38" spans="1:33">
      <c r="A38" s="16" t="s">
        <v>25</v>
      </c>
      <c r="B38" s="91"/>
      <c r="C38" s="91"/>
      <c r="D38" s="91"/>
      <c r="E38" s="90"/>
      <c r="H38" s="35"/>
      <c r="I38" s="5"/>
      <c r="J38" s="91"/>
      <c r="K38" s="91"/>
      <c r="L38" s="16" t="s">
        <v>25</v>
      </c>
      <c r="M38" s="91"/>
      <c r="N38" s="91"/>
      <c r="O38" s="91"/>
      <c r="P38" s="91"/>
      <c r="Q38" s="91"/>
      <c r="R38" s="35"/>
      <c r="AA38" s="16" t="s">
        <v>25</v>
      </c>
      <c r="AB38" s="91"/>
      <c r="AC38" s="91"/>
      <c r="AD38" s="91"/>
      <c r="AE38" s="90"/>
      <c r="AF38" s="91"/>
      <c r="AG38" s="35"/>
    </row>
    <row r="39" spans="1:33">
      <c r="A39" s="5" t="s">
        <v>26</v>
      </c>
      <c r="B39" s="91">
        <v>0</v>
      </c>
      <c r="C39" s="91">
        <v>0</v>
      </c>
      <c r="D39" s="91">
        <v>0</v>
      </c>
      <c r="E39" s="91"/>
      <c r="F39" s="91">
        <f>-E49-SUM(E52:E54)</f>
        <v>-1207232.1300000001</v>
      </c>
      <c r="H39" s="35">
        <f>-16897161.34+18240590.34+97150762.09-104776705.46</f>
        <v>-6282514.3699999899</v>
      </c>
      <c r="I39" s="5"/>
      <c r="J39" s="91"/>
      <c r="K39" s="91"/>
      <c r="L39" s="5" t="s">
        <v>26</v>
      </c>
      <c r="M39" s="91">
        <v>0</v>
      </c>
      <c r="N39" s="91">
        <v>0</v>
      </c>
      <c r="O39" s="91">
        <v>0</v>
      </c>
      <c r="P39" s="91"/>
      <c r="Q39" s="91">
        <f>-P49-SUM(P52:P54)</f>
        <v>16669.2</v>
      </c>
      <c r="R39" s="100"/>
      <c r="AA39" s="5" t="s">
        <v>26</v>
      </c>
      <c r="AB39" s="91">
        <v>0</v>
      </c>
      <c r="AC39" s="91">
        <v>0</v>
      </c>
      <c r="AD39" s="91">
        <v>0</v>
      </c>
      <c r="AE39" s="91"/>
      <c r="AF39" s="91">
        <f>-AE49-SUM(AE52:AE54)</f>
        <v>-1223901.2999999998</v>
      </c>
      <c r="AG39" s="100"/>
    </row>
    <row r="40" spans="1:33">
      <c r="A40" s="5" t="s">
        <v>28</v>
      </c>
      <c r="B40" s="91">
        <v>0</v>
      </c>
      <c r="C40" s="91">
        <f>+B40</f>
        <v>0</v>
      </c>
      <c r="D40" s="91">
        <f>+B40</f>
        <v>0</v>
      </c>
      <c r="E40" s="90"/>
      <c r="F40" s="91">
        <v>0</v>
      </c>
      <c r="H40" s="100">
        <f>-18163715.06+7302667.87+18163715.06-12756030.4+1009593.91-3763910.11-2397890.18+3752825.14</f>
        <v>-6852743.7699999977</v>
      </c>
      <c r="I40" s="5"/>
      <c r="J40" s="91"/>
      <c r="K40" s="91"/>
      <c r="L40" s="5" t="s">
        <v>28</v>
      </c>
      <c r="M40" s="91">
        <f>+B40</f>
        <v>0</v>
      </c>
      <c r="N40" s="91">
        <f>+M40</f>
        <v>0</v>
      </c>
      <c r="O40" s="91">
        <f>+M40</f>
        <v>0</v>
      </c>
      <c r="P40" s="91"/>
      <c r="Q40" s="91">
        <v>0</v>
      </c>
      <c r="AA40" s="5" t="s">
        <v>28</v>
      </c>
      <c r="AB40" s="91">
        <v>0</v>
      </c>
      <c r="AC40" s="91">
        <f>+AB40</f>
        <v>0</v>
      </c>
      <c r="AD40" s="91">
        <f>+AB40</f>
        <v>0</v>
      </c>
      <c r="AE40" s="90"/>
      <c r="AF40" s="91">
        <f t="shared" ref="AF40:AF41" si="3">+F40-Q40</f>
        <v>0</v>
      </c>
    </row>
    <row r="41" spans="1:33">
      <c r="A41" s="12" t="s">
        <v>37</v>
      </c>
      <c r="B41" s="96">
        <v>0</v>
      </c>
      <c r="C41" s="91">
        <v>0</v>
      </c>
      <c r="D41" s="91">
        <v>0</v>
      </c>
      <c r="E41" s="90"/>
      <c r="F41" s="91">
        <v>0</v>
      </c>
      <c r="I41" s="5"/>
      <c r="J41" s="91"/>
      <c r="K41" s="91"/>
      <c r="L41" s="5" t="s">
        <v>29</v>
      </c>
      <c r="M41" s="96">
        <v>0</v>
      </c>
      <c r="N41" s="91">
        <v>0</v>
      </c>
      <c r="O41" s="91">
        <v>0</v>
      </c>
      <c r="P41" s="91"/>
      <c r="Q41" s="91">
        <v>0</v>
      </c>
      <c r="R41" s="25" t="s">
        <v>8</v>
      </c>
      <c r="AA41" s="12" t="s">
        <v>37</v>
      </c>
      <c r="AB41" s="96">
        <v>0</v>
      </c>
      <c r="AC41" s="91">
        <v>0</v>
      </c>
      <c r="AD41" s="91">
        <v>0</v>
      </c>
      <c r="AE41" s="90"/>
      <c r="AF41" s="91">
        <f t="shared" si="3"/>
        <v>0</v>
      </c>
      <c r="AG41" s="25" t="s">
        <v>8</v>
      </c>
    </row>
    <row r="42" spans="1:33">
      <c r="A42" s="5" t="s">
        <v>40</v>
      </c>
      <c r="B42" s="105">
        <f>SUM(B39:B41)</f>
        <v>0</v>
      </c>
      <c r="C42" s="105">
        <f>SUM(C39:C41)</f>
        <v>0</v>
      </c>
      <c r="D42" s="105">
        <f>SUM(D39:D41)</f>
        <v>0</v>
      </c>
      <c r="E42" s="90"/>
      <c r="F42" s="105">
        <f>SUM(F39:F41)</f>
        <v>-1207232.1300000001</v>
      </c>
      <c r="I42" s="5"/>
      <c r="J42" s="91"/>
      <c r="K42" s="91"/>
      <c r="L42" s="5" t="s">
        <v>40</v>
      </c>
      <c r="M42" s="105">
        <f>SUM(M39:M41)</f>
        <v>0</v>
      </c>
      <c r="N42" s="105">
        <f>SUM(N39:N41)</f>
        <v>0</v>
      </c>
      <c r="O42" s="105">
        <f>SUM(O39:O41)</f>
        <v>0</v>
      </c>
      <c r="P42" s="91"/>
      <c r="Q42" s="105">
        <f>SUM(Q39:Q41)</f>
        <v>16669.2</v>
      </c>
      <c r="AA42" s="5" t="s">
        <v>40</v>
      </c>
      <c r="AB42" s="105">
        <f>SUM(AB39:AB41)</f>
        <v>0</v>
      </c>
      <c r="AC42" s="105">
        <f>SUM(AC39:AC41)</f>
        <v>0</v>
      </c>
      <c r="AD42" s="105">
        <f>SUM(AD39:AD41)</f>
        <v>0</v>
      </c>
      <c r="AE42" s="90"/>
      <c r="AF42" s="105">
        <f>SUM(AF39:AF41)</f>
        <v>-1223901.2999999998</v>
      </c>
    </row>
    <row r="43" spans="1:33">
      <c r="A43" s="11" t="s">
        <v>69</v>
      </c>
      <c r="B43" s="91">
        <f>SUM(B36:B41)</f>
        <v>29002819.622499995</v>
      </c>
      <c r="C43" s="91">
        <f>SUM(C36:C41)</f>
        <v>29727819.622499995</v>
      </c>
      <c r="D43" s="91">
        <f>SUM(D36:D41)</f>
        <v>29727819.622499995</v>
      </c>
      <c r="E43" s="90"/>
      <c r="F43" s="91">
        <f>SUM(F39:F41)+F10+F20+F28+F34</f>
        <v>31058559.329999994</v>
      </c>
      <c r="H43" s="35"/>
      <c r="I43" s="21"/>
      <c r="J43" s="91"/>
      <c r="K43" s="91"/>
      <c r="L43" s="5" t="s">
        <v>30</v>
      </c>
      <c r="M43" s="91">
        <f>SUM(M36:M41)</f>
        <v>-303166.88000000012</v>
      </c>
      <c r="N43" s="91">
        <f>SUM(N36:N41)</f>
        <v>-303166.88000000012</v>
      </c>
      <c r="O43" s="91">
        <f>SUM(O36:O41)</f>
        <v>-303166.88000000012</v>
      </c>
      <c r="P43" s="91"/>
      <c r="Q43" s="91">
        <f>SUM(Q39:Q41)+Q10+Q20+Q28+Q34</f>
        <v>-286497.68000000005</v>
      </c>
      <c r="R43" s="35"/>
      <c r="AA43" s="11" t="s">
        <v>69</v>
      </c>
      <c r="AB43" s="91">
        <f>SUM(AB36:AB41)</f>
        <v>29305986.50249999</v>
      </c>
      <c r="AC43" s="91">
        <f>SUM(AC36:AC41)</f>
        <v>30030986.50249999</v>
      </c>
      <c r="AD43" s="91">
        <f>SUM(AD36:AD41)</f>
        <v>30030986.50249999</v>
      </c>
      <c r="AE43" s="90"/>
      <c r="AF43" s="91">
        <f>SUM(AF39:AF41)+AF10+AF20+AF28+AF34</f>
        <v>31345057.039999999</v>
      </c>
      <c r="AG43" s="35"/>
    </row>
    <row r="44" spans="1:33">
      <c r="A44" s="11" t="s">
        <v>73</v>
      </c>
      <c r="B44" s="112">
        <v>0.91466599999999998</v>
      </c>
      <c r="C44" s="112">
        <v>2.9517999999999999E-2</v>
      </c>
      <c r="D44" s="112">
        <v>5.6550999999999997E-2</v>
      </c>
      <c r="E44" s="90"/>
      <c r="H44" s="35"/>
      <c r="I44" s="5"/>
      <c r="J44" s="91"/>
      <c r="K44" s="91"/>
      <c r="L44" s="11" t="s">
        <v>44</v>
      </c>
      <c r="M44" s="113">
        <f>+B44</f>
        <v>0.91466599999999998</v>
      </c>
      <c r="N44" s="113">
        <f>+C44</f>
        <v>2.9517999999999999E-2</v>
      </c>
      <c r="O44" s="113">
        <f>+D44</f>
        <v>5.6550999999999997E-2</v>
      </c>
      <c r="P44" s="91"/>
      <c r="Q44" s="91"/>
      <c r="R44" s="35" t="s">
        <v>9</v>
      </c>
      <c r="AA44" s="11" t="s">
        <v>73</v>
      </c>
      <c r="AB44" s="112">
        <v>0.91466599999999998</v>
      </c>
      <c r="AC44" s="112">
        <v>2.9517999999999999E-2</v>
      </c>
      <c r="AD44" s="112">
        <v>5.6550999999999997E-2</v>
      </c>
      <c r="AE44" s="90"/>
      <c r="AF44" s="91"/>
      <c r="AG44" s="35" t="s">
        <v>9</v>
      </c>
    </row>
    <row r="45" spans="1:33" ht="18" customHeight="1">
      <c r="A45" s="11" t="s">
        <v>45</v>
      </c>
      <c r="B45" s="91">
        <f>ROUND(+B43*B44,2)</f>
        <v>26527893.010000002</v>
      </c>
      <c r="C45" s="91">
        <f>ROUND(+C43*C44,2)</f>
        <v>877505.78</v>
      </c>
      <c r="D45" s="91">
        <f>ROUND(+D43*D44,2)</f>
        <v>1681137.93</v>
      </c>
      <c r="E45" s="90"/>
      <c r="H45" s="35"/>
      <c r="I45" s="5"/>
      <c r="J45" s="21"/>
      <c r="K45" s="21"/>
      <c r="L45" s="11" t="s">
        <v>45</v>
      </c>
      <c r="M45" s="91">
        <f>+M43*M44</f>
        <v>-277296.4374620801</v>
      </c>
      <c r="N45" s="91">
        <f>+N43*N44</f>
        <v>-8948.8799638400033</v>
      </c>
      <c r="O45" s="91">
        <f>+O43*O44</f>
        <v>-17144.390230880006</v>
      </c>
      <c r="P45" s="91"/>
      <c r="Q45" s="91"/>
      <c r="R45" s="35"/>
      <c r="AA45" s="11" t="s">
        <v>45</v>
      </c>
      <c r="AB45" s="91">
        <f>ROUND(+AB43*AB44,2)</f>
        <v>26805189.449999999</v>
      </c>
      <c r="AC45" s="91">
        <f>ROUND(+AC43*AC44,2)</f>
        <v>886454.66</v>
      </c>
      <c r="AD45" s="91">
        <f>ROUND(+AD43*AD44,2)</f>
        <v>1698282.32</v>
      </c>
      <c r="AE45" s="90"/>
      <c r="AF45" s="91"/>
    </row>
    <row r="46" spans="1:33">
      <c r="A46" s="12" t="s">
        <v>68</v>
      </c>
      <c r="B46" s="98">
        <v>-5000</v>
      </c>
      <c r="C46" s="98">
        <v>0</v>
      </c>
      <c r="D46" s="98">
        <v>0</v>
      </c>
      <c r="E46" s="90"/>
      <c r="H46" s="25" t="s">
        <v>8</v>
      </c>
      <c r="I46" s="5"/>
      <c r="J46" s="91"/>
      <c r="K46" s="91"/>
      <c r="L46" s="11"/>
      <c r="M46" s="91"/>
      <c r="N46" s="91"/>
      <c r="O46" s="91"/>
      <c r="P46" s="91"/>
      <c r="Q46" s="91"/>
      <c r="R46" s="35"/>
      <c r="AA46" s="12" t="s">
        <v>68</v>
      </c>
      <c r="AB46" s="98">
        <v>-5000</v>
      </c>
      <c r="AC46" s="98">
        <v>0</v>
      </c>
      <c r="AD46" s="98">
        <v>0</v>
      </c>
      <c r="AE46" s="90"/>
      <c r="AF46" s="91"/>
    </row>
    <row r="47" spans="1:33">
      <c r="A47" s="11" t="s">
        <v>70</v>
      </c>
      <c r="B47" s="91">
        <f>+B45+B46</f>
        <v>26522893.010000002</v>
      </c>
      <c r="C47" s="91">
        <f>+C45+C46</f>
        <v>877505.78</v>
      </c>
      <c r="D47" s="91">
        <f>+D45+D46</f>
        <v>1681137.93</v>
      </c>
      <c r="E47" s="90"/>
      <c r="H47" s="35"/>
      <c r="L47" s="11"/>
      <c r="M47" s="91"/>
      <c r="N47" s="91"/>
      <c r="O47" s="91"/>
      <c r="P47" s="91"/>
      <c r="Q47" s="91"/>
      <c r="R47" s="35"/>
      <c r="AA47" s="11" t="s">
        <v>70</v>
      </c>
      <c r="AB47" s="91">
        <f>+AB45+AB46+0.01</f>
        <v>26800189.460000001</v>
      </c>
      <c r="AC47" s="91">
        <f>+AC45+AC46</f>
        <v>886454.66</v>
      </c>
      <c r="AD47" s="91">
        <f>+AD45+AD46</f>
        <v>1698282.32</v>
      </c>
      <c r="AE47" s="90"/>
      <c r="AF47" s="91"/>
    </row>
    <row r="48" spans="1:33">
      <c r="A48" s="12" t="s">
        <v>77</v>
      </c>
      <c r="B48" s="114">
        <v>5.5E-2</v>
      </c>
      <c r="C48" s="114">
        <v>0.05</v>
      </c>
      <c r="D48" s="115">
        <v>5.6603768999999998E-2</v>
      </c>
      <c r="E48" s="112"/>
      <c r="F48" s="98">
        <v>0.35</v>
      </c>
      <c r="G48" s="99"/>
      <c r="H48" s="39" t="s">
        <v>63</v>
      </c>
      <c r="J48" s="100"/>
      <c r="L48" s="12" t="s">
        <v>77</v>
      </c>
      <c r="M48" s="116">
        <v>5.5E-2</v>
      </c>
      <c r="N48" s="116">
        <v>0.05</v>
      </c>
      <c r="O48" s="116">
        <v>5.6603768999999998E-2</v>
      </c>
      <c r="P48" s="98"/>
      <c r="Q48" s="99">
        <v>0.35</v>
      </c>
      <c r="R48" s="39" t="s">
        <v>63</v>
      </c>
      <c r="AA48" s="12" t="s">
        <v>77</v>
      </c>
      <c r="AB48" s="114">
        <v>5.5E-2</v>
      </c>
      <c r="AC48" s="114">
        <v>0.05</v>
      </c>
      <c r="AD48" s="115">
        <v>5.6603768999999998E-2</v>
      </c>
      <c r="AE48" s="112"/>
      <c r="AF48" s="98">
        <v>0.35</v>
      </c>
    </row>
    <row r="49" spans="1:32">
      <c r="A49" s="5" t="s">
        <v>41</v>
      </c>
      <c r="B49" s="91">
        <f>ROUND(+B47*B48,2)-0.01</f>
        <v>1458759.11</v>
      </c>
      <c r="C49" s="91">
        <f>ROUND(+C47*C48,2)-0.01</f>
        <v>43875.28</v>
      </c>
      <c r="D49" s="91">
        <f>ROUND(+D47*D48,2)</f>
        <v>95158.74</v>
      </c>
      <c r="E49" s="91">
        <f>SUM(B49:D49)</f>
        <v>1597793.1300000001</v>
      </c>
      <c r="F49" s="91">
        <f>ROUND(+F43*F48,2)</f>
        <v>10870495.77</v>
      </c>
      <c r="H49" s="35">
        <f t="shared" ref="H49:H57" si="4">+E49+F49</f>
        <v>12468288.9</v>
      </c>
      <c r="I49" s="35"/>
      <c r="J49" s="100"/>
      <c r="L49" s="5" t="s">
        <v>41</v>
      </c>
      <c r="M49" s="107">
        <f>+ROUND(M45*M48,2)-0.01</f>
        <v>-15251.31</v>
      </c>
      <c r="N49" s="107">
        <f>+ROUND(N45*N48,2)-0.01</f>
        <v>-447.45</v>
      </c>
      <c r="O49" s="107">
        <f>+ROUND(O45*O48,2)</f>
        <v>-970.44</v>
      </c>
      <c r="P49" s="91">
        <f>SUM(M49:O49)</f>
        <v>-16669.2</v>
      </c>
      <c r="Q49" s="91">
        <f>ROUND(+Q43*Q48,3)+0.01</f>
        <v>-100274.178</v>
      </c>
      <c r="R49" s="35">
        <f t="shared" ref="R49:R60" si="5">+P49+Q49</f>
        <v>-116943.378</v>
      </c>
      <c r="T49" s="100"/>
      <c r="AA49" s="5" t="s">
        <v>41</v>
      </c>
      <c r="AB49" s="91">
        <f>ROUND(+AB47*AB48,2)-0.01</f>
        <v>1474010.41</v>
      </c>
      <c r="AC49" s="91">
        <f>ROUND(+AC47*AC48,2)-0.01</f>
        <v>44322.720000000001</v>
      </c>
      <c r="AD49" s="91">
        <f>ROUND(+AD47*AD48,2)-0.01</f>
        <v>96129.17</v>
      </c>
      <c r="AE49" s="91">
        <f>SUM(AB49:AD49)</f>
        <v>1614462.2999999998</v>
      </c>
      <c r="AF49" s="91">
        <f>ROUND(+AF43*AF48,2)+0.01</f>
        <v>10970769.970000001</v>
      </c>
    </row>
    <row r="50" spans="1:32">
      <c r="A50" s="5"/>
      <c r="B50" s="91"/>
      <c r="C50" s="91"/>
      <c r="D50" s="91"/>
      <c r="E50" s="91"/>
      <c r="H50" s="35"/>
      <c r="I50" s="35"/>
      <c r="J50" s="100"/>
      <c r="L50" s="5"/>
      <c r="M50" s="107"/>
      <c r="N50" s="107"/>
      <c r="O50" s="107"/>
      <c r="P50" s="91"/>
      <c r="Q50" s="91"/>
      <c r="R50" s="35"/>
      <c r="T50" s="100"/>
      <c r="AA50" s="5"/>
      <c r="AB50" s="91"/>
      <c r="AC50" s="91"/>
      <c r="AD50" s="91"/>
      <c r="AE50" s="91"/>
      <c r="AF50" s="91"/>
    </row>
    <row r="51" spans="1:32">
      <c r="A51" s="14" t="s">
        <v>42</v>
      </c>
      <c r="B51" s="91"/>
      <c r="C51" s="91"/>
      <c r="D51" s="91"/>
      <c r="E51" s="91"/>
      <c r="G51" s="91">
        <f>130187*11</f>
        <v>1432057</v>
      </c>
      <c r="H51" s="100">
        <f t="shared" si="4"/>
        <v>0</v>
      </c>
      <c r="L51" s="14" t="s">
        <v>42</v>
      </c>
      <c r="M51" s="91"/>
      <c r="N51" s="91"/>
      <c r="O51" s="91"/>
      <c r="P51" s="91">
        <f t="shared" ref="P51:P57" si="6">SUM(M51:O51)</f>
        <v>0</v>
      </c>
      <c r="Q51" s="91"/>
      <c r="R51" s="100">
        <f t="shared" si="5"/>
        <v>0</v>
      </c>
      <c r="AA51" s="14" t="s">
        <v>42</v>
      </c>
      <c r="AB51" s="91"/>
      <c r="AC51" s="91"/>
      <c r="AD51" s="91"/>
      <c r="AE51" s="91"/>
      <c r="AF51" s="91"/>
    </row>
    <row r="52" spans="1:32">
      <c r="A52" s="12" t="s">
        <v>71</v>
      </c>
      <c r="B52" s="91">
        <v>0</v>
      </c>
      <c r="C52" s="91"/>
      <c r="D52" s="91"/>
      <c r="E52" s="91">
        <f t="shared" ref="E52:E57" si="7">SUM(B52:D52)</f>
        <v>0</v>
      </c>
      <c r="F52" s="96"/>
      <c r="G52" s="91">
        <v>130188</v>
      </c>
      <c r="H52" s="35">
        <f t="shared" si="4"/>
        <v>0</v>
      </c>
      <c r="L52" s="11" t="str">
        <f>+A52</f>
        <v>SCHOLARSHIP CREDIT</v>
      </c>
      <c r="M52" s="91">
        <f>+B52</f>
        <v>0</v>
      </c>
      <c r="N52" s="91"/>
      <c r="O52" s="91"/>
      <c r="P52" s="91">
        <f t="shared" si="6"/>
        <v>0</v>
      </c>
      <c r="Q52" s="91"/>
      <c r="R52" s="100">
        <f t="shared" si="5"/>
        <v>0</v>
      </c>
      <c r="AA52" s="12" t="s">
        <v>71</v>
      </c>
      <c r="AB52" s="91">
        <f t="shared" ref="AB52:AD57" si="8">+B52-M52</f>
        <v>0</v>
      </c>
      <c r="AC52" s="91">
        <f t="shared" si="8"/>
        <v>0</v>
      </c>
      <c r="AD52" s="91">
        <f t="shared" si="8"/>
        <v>0</v>
      </c>
      <c r="AE52" s="91">
        <f t="shared" ref="AE52:AE57" si="9">SUM(AB52:AD52)</f>
        <v>0</v>
      </c>
      <c r="AF52" s="96"/>
    </row>
    <row r="53" spans="1:32">
      <c r="A53" s="12" t="s">
        <v>67</v>
      </c>
      <c r="B53" s="91"/>
      <c r="C53" s="91"/>
      <c r="D53" s="91"/>
      <c r="E53" s="91">
        <f t="shared" si="7"/>
        <v>0</v>
      </c>
      <c r="F53" s="91">
        <f>-ROUND(((112065*0.9)/12*3),2)</f>
        <v>-25214.63</v>
      </c>
      <c r="G53" s="91">
        <f>SUM(G51:G52)</f>
        <v>1562245</v>
      </c>
      <c r="H53" s="35">
        <f>+E53+F53</f>
        <v>-25214.63</v>
      </c>
      <c r="I53" s="25" t="s">
        <v>3</v>
      </c>
      <c r="K53" s="35"/>
      <c r="L53" s="12" t="s">
        <v>67</v>
      </c>
      <c r="M53" s="91"/>
      <c r="N53" s="91"/>
      <c r="O53" s="91"/>
      <c r="P53" s="91">
        <f t="shared" si="6"/>
        <v>0</v>
      </c>
      <c r="Q53" s="91">
        <v>0</v>
      </c>
      <c r="R53" s="35">
        <f>+P53+Q53</f>
        <v>0</v>
      </c>
      <c r="AA53" s="12" t="s">
        <v>67</v>
      </c>
      <c r="AB53" s="91">
        <f t="shared" si="8"/>
        <v>0</v>
      </c>
      <c r="AC53" s="91">
        <f t="shared" si="8"/>
        <v>0</v>
      </c>
      <c r="AD53" s="91">
        <f t="shared" si="8"/>
        <v>0</v>
      </c>
      <c r="AE53" s="91">
        <f t="shared" si="9"/>
        <v>0</v>
      </c>
      <c r="AF53" s="91">
        <f t="shared" ref="AF53:AF57" si="10">+F53-Q53</f>
        <v>-25214.63</v>
      </c>
    </row>
    <row r="54" spans="1:32">
      <c r="A54" s="25" t="s">
        <v>84</v>
      </c>
      <c r="B54" s="100"/>
      <c r="C54" s="100"/>
      <c r="D54" s="100">
        <f>-ROUND((1562245/12),0)*3</f>
        <v>-390561</v>
      </c>
      <c r="E54" s="91">
        <f t="shared" si="7"/>
        <v>-390561</v>
      </c>
      <c r="F54" s="91">
        <v>0</v>
      </c>
      <c r="H54" s="35">
        <f>+E54+F54</f>
        <v>-390561</v>
      </c>
      <c r="L54" s="25" t="s">
        <v>84</v>
      </c>
      <c r="M54" s="91">
        <f>+B54</f>
        <v>0</v>
      </c>
      <c r="P54" s="91">
        <f t="shared" si="6"/>
        <v>0</v>
      </c>
      <c r="R54" s="100">
        <f t="shared" si="5"/>
        <v>0</v>
      </c>
      <c r="AA54" s="25" t="s">
        <v>84</v>
      </c>
      <c r="AB54" s="100">
        <f t="shared" si="8"/>
        <v>0</v>
      </c>
      <c r="AC54" s="100">
        <f t="shared" si="8"/>
        <v>0</v>
      </c>
      <c r="AD54" s="100">
        <f t="shared" si="8"/>
        <v>-390561</v>
      </c>
      <c r="AE54" s="91">
        <f t="shared" si="9"/>
        <v>-390561</v>
      </c>
      <c r="AF54" s="91">
        <f t="shared" si="10"/>
        <v>0</v>
      </c>
    </row>
    <row r="55" spans="1:32">
      <c r="A55" s="11" t="s">
        <v>85</v>
      </c>
      <c r="B55" s="91">
        <v>5981.25</v>
      </c>
      <c r="C55" s="91"/>
      <c r="D55" s="91">
        <f>(390561*0.1)-0.1</f>
        <v>39056</v>
      </c>
      <c r="E55" s="91">
        <f t="shared" si="7"/>
        <v>45037.25</v>
      </c>
      <c r="F55" s="91">
        <f>(+(725000*0.15)+(25214.63*0.4))*0+10086+38062.5</f>
        <v>48148.5</v>
      </c>
      <c r="H55" s="35">
        <f>+E55+F55</f>
        <v>93185.75</v>
      </c>
      <c r="K55" s="35"/>
      <c r="L55" s="11" t="s">
        <v>39</v>
      </c>
      <c r="M55" s="91">
        <v>0</v>
      </c>
      <c r="N55" s="91"/>
      <c r="O55" s="91"/>
      <c r="P55" s="91">
        <f t="shared" si="6"/>
        <v>0</v>
      </c>
      <c r="Q55" s="91">
        <v>0</v>
      </c>
      <c r="R55" s="35">
        <f>+P55+Q55</f>
        <v>0</v>
      </c>
      <c r="AA55" s="11" t="s">
        <v>95</v>
      </c>
      <c r="AB55" s="91">
        <f t="shared" si="8"/>
        <v>5981.25</v>
      </c>
      <c r="AC55" s="91">
        <f t="shared" si="8"/>
        <v>0</v>
      </c>
      <c r="AD55" s="91">
        <f t="shared" si="8"/>
        <v>39056</v>
      </c>
      <c r="AE55" s="91">
        <f t="shared" si="9"/>
        <v>45037.25</v>
      </c>
      <c r="AF55" s="91">
        <f t="shared" si="10"/>
        <v>48148.5</v>
      </c>
    </row>
    <row r="56" spans="1:32">
      <c r="A56" s="12" t="s">
        <v>66</v>
      </c>
      <c r="B56" s="91">
        <v>0</v>
      </c>
      <c r="C56" s="91"/>
      <c r="D56" s="91"/>
      <c r="E56" s="91">
        <f t="shared" si="7"/>
        <v>0</v>
      </c>
      <c r="F56" s="91">
        <v>0</v>
      </c>
      <c r="H56" s="35">
        <f>+E56+F56</f>
        <v>0</v>
      </c>
      <c r="K56" s="35"/>
      <c r="L56" s="12" t="s">
        <v>66</v>
      </c>
      <c r="M56" s="91"/>
      <c r="N56" s="91"/>
      <c r="O56" s="91"/>
      <c r="P56" s="91">
        <f t="shared" si="6"/>
        <v>0</v>
      </c>
      <c r="Q56" s="91">
        <v>0</v>
      </c>
      <c r="R56" s="35">
        <f>+P56+Q56</f>
        <v>0</v>
      </c>
      <c r="AA56" s="12" t="s">
        <v>66</v>
      </c>
      <c r="AB56" s="91">
        <f t="shared" si="8"/>
        <v>0</v>
      </c>
      <c r="AC56" s="91">
        <f t="shared" si="8"/>
        <v>0</v>
      </c>
      <c r="AD56" s="91">
        <f t="shared" si="8"/>
        <v>0</v>
      </c>
      <c r="AE56" s="91">
        <f t="shared" si="9"/>
        <v>0</v>
      </c>
      <c r="AF56" s="91">
        <f t="shared" si="10"/>
        <v>0</v>
      </c>
    </row>
    <row r="57" spans="1:32">
      <c r="A57" s="11" t="s">
        <v>46</v>
      </c>
      <c r="B57" s="98">
        <v>0</v>
      </c>
      <c r="C57" s="98">
        <v>0</v>
      </c>
      <c r="D57" s="98">
        <v>0</v>
      </c>
      <c r="E57" s="98">
        <f t="shared" si="7"/>
        <v>0</v>
      </c>
      <c r="F57" s="98">
        <v>0</v>
      </c>
      <c r="G57" s="41"/>
      <c r="H57" s="41">
        <f t="shared" si="4"/>
        <v>0</v>
      </c>
      <c r="J57" s="35"/>
      <c r="L57" s="11" t="s">
        <v>46</v>
      </c>
      <c r="M57" s="98"/>
      <c r="N57" s="98">
        <v>0</v>
      </c>
      <c r="O57" s="98">
        <v>0</v>
      </c>
      <c r="P57" s="98">
        <f t="shared" si="6"/>
        <v>0</v>
      </c>
      <c r="Q57" s="98"/>
      <c r="R57" s="41">
        <f t="shared" si="5"/>
        <v>0</v>
      </c>
      <c r="U57" s="100"/>
      <c r="V57" s="100"/>
      <c r="AA57" s="11" t="s">
        <v>46</v>
      </c>
      <c r="AB57" s="98">
        <f t="shared" si="8"/>
        <v>0</v>
      </c>
      <c r="AC57" s="98">
        <f t="shared" si="8"/>
        <v>0</v>
      </c>
      <c r="AD57" s="98">
        <f t="shared" si="8"/>
        <v>0</v>
      </c>
      <c r="AE57" s="98">
        <f t="shared" si="9"/>
        <v>0</v>
      </c>
      <c r="AF57" s="98">
        <f t="shared" si="10"/>
        <v>0</v>
      </c>
    </row>
    <row r="58" spans="1:32">
      <c r="A58" s="12" t="s">
        <v>51</v>
      </c>
      <c r="B58" s="91">
        <f>SUM(B49:B57)</f>
        <v>1464740.36</v>
      </c>
      <c r="C58" s="91">
        <f>SUM(C49:C57)</f>
        <v>43875.28</v>
      </c>
      <c r="D58" s="91">
        <f>SUM(D49:D57)</f>
        <v>-256346.26</v>
      </c>
      <c r="E58" s="91">
        <f>SUM(E49:E57)</f>
        <v>1252269.3800000001</v>
      </c>
      <c r="F58" s="91">
        <f>SUM(F49:F57)</f>
        <v>10893429.639999999</v>
      </c>
      <c r="G58" s="35"/>
      <c r="H58" s="35">
        <f>ROUND(+E58+F58,2)</f>
        <v>12145699.02</v>
      </c>
      <c r="J58" s="35"/>
      <c r="L58" s="12" t="s">
        <v>51</v>
      </c>
      <c r="M58" s="91">
        <f>SUM(M49:M57)</f>
        <v>-15251.31</v>
      </c>
      <c r="N58" s="91">
        <f>SUM(N49:N57)</f>
        <v>-447.45</v>
      </c>
      <c r="O58" s="91">
        <f>SUM(O49:O57)</f>
        <v>-970.44</v>
      </c>
      <c r="P58" s="91">
        <f>SUM(P49:P57)</f>
        <v>-16669.2</v>
      </c>
      <c r="Q58" s="91">
        <f>SUM(Q49:Q57)</f>
        <v>-100274.178</v>
      </c>
      <c r="R58" s="35">
        <f t="shared" si="5"/>
        <v>-116943.378</v>
      </c>
      <c r="U58" s="100"/>
      <c r="V58" s="100"/>
      <c r="AA58" s="12" t="s">
        <v>51</v>
      </c>
      <c r="AB58" s="91">
        <f>SUM(AB49:AB57)</f>
        <v>1479991.66</v>
      </c>
      <c r="AC58" s="91">
        <f>SUM(AC49:AC57)</f>
        <v>44322.720000000001</v>
      </c>
      <c r="AD58" s="91">
        <f>SUM(AD49:AD57)</f>
        <v>-255375.83000000002</v>
      </c>
      <c r="AE58" s="91">
        <f>SUM(AE49:AE57)</f>
        <v>1268938.5499999998</v>
      </c>
      <c r="AF58" s="91">
        <f>SUM(AF49:AF57)</f>
        <v>10993703.84</v>
      </c>
    </row>
    <row r="59" spans="1:32">
      <c r="A59" s="12" t="s">
        <v>96</v>
      </c>
      <c r="B59" s="98"/>
      <c r="C59" s="98"/>
      <c r="D59" s="98"/>
      <c r="E59" s="98">
        <f>SUM(B59:D59)</f>
        <v>0</v>
      </c>
      <c r="F59" s="117">
        <v>0</v>
      </c>
      <c r="G59" s="41"/>
      <c r="H59" s="41">
        <f>+E59+F59</f>
        <v>0</v>
      </c>
      <c r="I59" s="42" t="s">
        <v>52</v>
      </c>
      <c r="J59" s="42" t="s">
        <v>53</v>
      </c>
      <c r="L59" s="11" t="str">
        <f>+A59</f>
        <v>MISCELLANEOUS</v>
      </c>
      <c r="M59" s="99"/>
      <c r="N59" s="99"/>
      <c r="O59" s="99"/>
      <c r="P59" s="98">
        <f>SUM(M59:O59)</f>
        <v>0</v>
      </c>
      <c r="Q59" s="118"/>
      <c r="R59" s="41">
        <f t="shared" si="5"/>
        <v>0</v>
      </c>
      <c r="U59" s="100"/>
      <c r="V59" s="100"/>
      <c r="AA59" s="12" t="s">
        <v>96</v>
      </c>
      <c r="AB59" s="98">
        <f>+B59</f>
        <v>0</v>
      </c>
      <c r="AC59" s="98">
        <v>0</v>
      </c>
      <c r="AD59" s="98">
        <v>0</v>
      </c>
      <c r="AE59" s="98">
        <f>SUM(AB59:AD59)</f>
        <v>0</v>
      </c>
      <c r="AF59" s="117">
        <f>+F59</f>
        <v>0</v>
      </c>
    </row>
    <row r="60" spans="1:32">
      <c r="A60" s="5" t="s">
        <v>54</v>
      </c>
      <c r="B60" s="91">
        <f>+B58+B59</f>
        <v>1464740.36</v>
      </c>
      <c r="C60" s="91">
        <f>+C58+C59</f>
        <v>43875.28</v>
      </c>
      <c r="D60" s="91">
        <f>+D58+D59</f>
        <v>-256346.26</v>
      </c>
      <c r="E60" s="91">
        <f>+E58+E59</f>
        <v>1252269.3800000001</v>
      </c>
      <c r="F60" s="91">
        <f>+F58+F59</f>
        <v>10893429.639999999</v>
      </c>
      <c r="G60" s="35"/>
      <c r="H60" s="35">
        <f>ROUND(+E60+F60,2)</f>
        <v>12145699.02</v>
      </c>
      <c r="I60" s="35">
        <f>SUM('[5]4A'!$D$47:$D$48)</f>
        <v>12145699.020000001</v>
      </c>
      <c r="J60" s="35">
        <f>SUM('[6]60A'!$E$9:$G$9)</f>
        <v>12145699.020000001</v>
      </c>
      <c r="L60" s="5" t="s">
        <v>54</v>
      </c>
      <c r="M60" s="91">
        <f>+M58+M59</f>
        <v>-15251.31</v>
      </c>
      <c r="N60" s="91">
        <f>+N58+N59</f>
        <v>-447.45</v>
      </c>
      <c r="O60" s="91">
        <f>+O58+O59</f>
        <v>-970.44</v>
      </c>
      <c r="P60" s="91">
        <f>+P58+P59</f>
        <v>-16669.2</v>
      </c>
      <c r="Q60" s="91">
        <f>+Q58+Q59</f>
        <v>-100274.178</v>
      </c>
      <c r="R60" s="35">
        <f t="shared" si="5"/>
        <v>-116943.378</v>
      </c>
      <c r="U60" s="100"/>
      <c r="V60" s="100"/>
      <c r="AA60" s="5" t="s">
        <v>54</v>
      </c>
      <c r="AB60" s="91">
        <f>+AB58+AB59</f>
        <v>1479991.66</v>
      </c>
      <c r="AC60" s="91">
        <f>+AC58+AC59</f>
        <v>44322.720000000001</v>
      </c>
      <c r="AD60" s="91">
        <f>+AD58+AD59</f>
        <v>-255375.83000000002</v>
      </c>
      <c r="AE60" s="91">
        <f>+AE58+AE59</f>
        <v>1268938.5499999998</v>
      </c>
      <c r="AF60" s="91">
        <f>+AF58+AF59</f>
        <v>10993703.84</v>
      </c>
    </row>
    <row r="61" spans="1:32">
      <c r="A61" s="5"/>
      <c r="B61" s="91"/>
      <c r="C61" s="91"/>
      <c r="D61" s="91"/>
      <c r="E61" s="91"/>
      <c r="H61" s="35"/>
      <c r="I61" s="35"/>
      <c r="L61" s="5"/>
      <c r="M61" s="91"/>
      <c r="N61" s="91"/>
      <c r="O61" s="91"/>
      <c r="P61" s="91"/>
      <c r="Q61" s="91"/>
      <c r="U61" s="100"/>
      <c r="V61" s="100"/>
      <c r="AA61" s="5"/>
      <c r="AB61" s="91"/>
      <c r="AC61" s="91"/>
      <c r="AD61" s="91"/>
      <c r="AE61" s="91"/>
      <c r="AF61" s="91"/>
    </row>
    <row r="62" spans="1:32">
      <c r="A62" s="27"/>
      <c r="B62" s="91"/>
      <c r="C62" s="91"/>
      <c r="D62" s="91"/>
      <c r="E62" s="91"/>
      <c r="H62" s="35"/>
      <c r="L62" s="27"/>
      <c r="M62" s="91"/>
      <c r="N62" s="91"/>
      <c r="O62" s="91"/>
      <c r="P62" s="91"/>
      <c r="Q62" s="91"/>
      <c r="R62" s="35"/>
      <c r="U62" s="100"/>
      <c r="V62" s="100"/>
      <c r="AA62" s="27"/>
      <c r="AB62" s="91"/>
      <c r="AC62" s="91"/>
      <c r="AD62" s="91"/>
      <c r="AE62" s="91"/>
      <c r="AF62" s="91"/>
    </row>
    <row r="63" spans="1:32">
      <c r="A63" s="5" t="s">
        <v>89</v>
      </c>
      <c r="B63" s="91">
        <v>2522887.79</v>
      </c>
      <c r="C63" s="91">
        <v>0</v>
      </c>
      <c r="D63" s="91">
        <v>0</v>
      </c>
      <c r="E63" s="91">
        <f t="shared" ref="E63:E68" si="11">SUM(B63:D63)</f>
        <v>2522887.79</v>
      </c>
      <c r="F63" s="91">
        <v>15497462.91</v>
      </c>
      <c r="H63" s="100">
        <f>+E63+F63</f>
        <v>18020350.699999999</v>
      </c>
      <c r="I63" s="21">
        <f>SUM('[5]4A'!$D$50:$D$51)</f>
        <v>18020350.699999999</v>
      </c>
      <c r="J63" s="21">
        <f>SUM('[6]60A'!$E$28:$G$28)</f>
        <v>18020169.710000001</v>
      </c>
      <c r="K63" s="35"/>
      <c r="L63" s="5" t="s">
        <v>89</v>
      </c>
      <c r="M63" s="96">
        <v>0</v>
      </c>
      <c r="N63" s="91">
        <v>0</v>
      </c>
      <c r="O63" s="91">
        <v>0</v>
      </c>
      <c r="P63" s="91">
        <f>SUM(M63:O63)</f>
        <v>0</v>
      </c>
      <c r="Q63" s="96">
        <v>180.99</v>
      </c>
      <c r="R63" s="100">
        <f>+P63+Q63</f>
        <v>180.99</v>
      </c>
      <c r="S63" s="35"/>
      <c r="U63" s="100"/>
      <c r="V63" s="100"/>
      <c r="AA63" s="5" t="s">
        <v>89</v>
      </c>
      <c r="AB63" s="96">
        <f t="shared" ref="AB63:AD68" si="12">+B63-M63</f>
        <v>2522887.79</v>
      </c>
      <c r="AC63" s="96">
        <f t="shared" si="12"/>
        <v>0</v>
      </c>
      <c r="AD63" s="96">
        <f t="shared" si="12"/>
        <v>0</v>
      </c>
      <c r="AE63" s="91">
        <f t="shared" ref="AE63:AE68" si="13">SUM(AB63:AD63)</f>
        <v>2522887.79</v>
      </c>
      <c r="AF63" s="96">
        <f t="shared" ref="AF63:AF68" si="14">+F63-Q63</f>
        <v>15497281.92</v>
      </c>
    </row>
    <row r="64" spans="1:32">
      <c r="A64" s="5" t="s">
        <v>88</v>
      </c>
      <c r="B64" s="91">
        <f>-1917548.86+2210.57</f>
        <v>-1915338.29</v>
      </c>
      <c r="C64" s="91">
        <v>0</v>
      </c>
      <c r="D64" s="91">
        <v>0</v>
      </c>
      <c r="E64" s="91">
        <f t="shared" si="11"/>
        <v>-1915338.29</v>
      </c>
      <c r="F64" s="91">
        <f>-13185561.42+12895.9</f>
        <v>-13172665.52</v>
      </c>
      <c r="H64" s="100">
        <f>+E64+F64</f>
        <v>-15088003.809999999</v>
      </c>
      <c r="I64" s="21">
        <f>SUM('[5]4A'!$D$53:$D$54)</f>
        <v>-15103110.279999999</v>
      </c>
      <c r="J64" s="21">
        <f>SUM('[6]60A'!$E$40:$G$40,'[6]60A'!$E$47:$G$47)</f>
        <v>-15102929.289999999</v>
      </c>
      <c r="K64" s="35"/>
      <c r="L64" s="5" t="s">
        <v>88</v>
      </c>
      <c r="M64" s="96">
        <v>-517.11</v>
      </c>
      <c r="N64" s="91">
        <v>0</v>
      </c>
      <c r="O64" s="91">
        <v>0</v>
      </c>
      <c r="P64" s="91">
        <f>SUM(M64:O64)</f>
        <v>-517.11</v>
      </c>
      <c r="Q64" s="96">
        <v>-3290.65</v>
      </c>
      <c r="R64" s="100">
        <f>+P64+Q64</f>
        <v>-3807.76</v>
      </c>
      <c r="U64" s="100"/>
      <c r="V64" s="100"/>
      <c r="AA64" s="5" t="s">
        <v>88</v>
      </c>
      <c r="AB64" s="96">
        <f t="shared" si="12"/>
        <v>-1914821.18</v>
      </c>
      <c r="AC64" s="96">
        <f t="shared" si="12"/>
        <v>0</v>
      </c>
      <c r="AD64" s="96">
        <f t="shared" si="12"/>
        <v>0</v>
      </c>
      <c r="AE64" s="91">
        <f t="shared" si="13"/>
        <v>-1914821.18</v>
      </c>
      <c r="AF64" s="96">
        <f t="shared" si="14"/>
        <v>-13169374.869999999</v>
      </c>
    </row>
    <row r="65" spans="1:38">
      <c r="A65" s="5" t="s">
        <v>86</v>
      </c>
      <c r="B65" s="91"/>
      <c r="C65" s="91"/>
      <c r="D65" s="91"/>
      <c r="E65" s="91">
        <f t="shared" si="11"/>
        <v>0</v>
      </c>
      <c r="G65" s="119"/>
      <c r="H65" s="100">
        <f>+F65+E65</f>
        <v>0</v>
      </c>
      <c r="I65" s="21"/>
      <c r="J65" s="21"/>
      <c r="K65" s="35"/>
      <c r="L65" s="5"/>
      <c r="M65" s="96"/>
      <c r="N65" s="91"/>
      <c r="O65" s="91"/>
      <c r="P65" s="91"/>
      <c r="Q65" s="96"/>
      <c r="R65" s="100"/>
      <c r="V65" s="35"/>
      <c r="AA65" s="5" t="s">
        <v>86</v>
      </c>
      <c r="AB65" s="91">
        <f t="shared" si="12"/>
        <v>0</v>
      </c>
      <c r="AC65" s="91">
        <f t="shared" si="12"/>
        <v>0</v>
      </c>
      <c r="AD65" s="91">
        <f t="shared" si="12"/>
        <v>0</v>
      </c>
      <c r="AE65" s="91">
        <f t="shared" si="13"/>
        <v>0</v>
      </c>
      <c r="AF65" s="91">
        <f t="shared" si="14"/>
        <v>0</v>
      </c>
    </row>
    <row r="66" spans="1:38">
      <c r="A66" s="5" t="s">
        <v>87</v>
      </c>
      <c r="B66" s="91"/>
      <c r="C66" s="91"/>
      <c r="D66" s="100">
        <f>-D55*D44-1.91</f>
        <v>-2210.5658559999997</v>
      </c>
      <c r="E66" s="91">
        <f t="shared" si="11"/>
        <v>-2210.5658559999997</v>
      </c>
      <c r="F66" s="91">
        <v>-12895.9</v>
      </c>
      <c r="H66" s="100">
        <f>+F66+E66</f>
        <v>-15106.465855999999</v>
      </c>
      <c r="I66" s="21"/>
      <c r="J66" s="21"/>
      <c r="K66" s="35"/>
      <c r="L66" s="5"/>
      <c r="M66" s="96"/>
      <c r="N66" s="91"/>
      <c r="O66" s="91"/>
      <c r="P66" s="91"/>
      <c r="Q66" s="96"/>
      <c r="R66" s="100"/>
      <c r="V66" s="35"/>
      <c r="AA66" s="5" t="s">
        <v>87</v>
      </c>
      <c r="AB66" s="91">
        <f t="shared" si="12"/>
        <v>0</v>
      </c>
      <c r="AC66" s="91">
        <f t="shared" si="12"/>
        <v>0</v>
      </c>
      <c r="AD66" s="96">
        <f t="shared" si="12"/>
        <v>-2210.5658559999997</v>
      </c>
      <c r="AE66" s="91">
        <f t="shared" si="13"/>
        <v>-2210.5658559999997</v>
      </c>
      <c r="AF66" s="96">
        <f t="shared" si="14"/>
        <v>-12895.9</v>
      </c>
    </row>
    <row r="67" spans="1:38">
      <c r="A67" s="11" t="s">
        <v>90</v>
      </c>
      <c r="B67" s="91">
        <v>0</v>
      </c>
      <c r="C67" s="91"/>
      <c r="D67" s="91"/>
      <c r="E67" s="91">
        <f t="shared" si="11"/>
        <v>0</v>
      </c>
      <c r="F67" s="91">
        <v>0</v>
      </c>
      <c r="H67" s="100">
        <f>+F67+E67</f>
        <v>0</v>
      </c>
      <c r="I67" s="21"/>
      <c r="J67" s="21"/>
      <c r="K67" s="35">
        <f>+J67-I67</f>
        <v>0</v>
      </c>
      <c r="L67" s="11" t="s">
        <v>90</v>
      </c>
      <c r="M67" s="96"/>
      <c r="N67" s="91"/>
      <c r="O67" s="91"/>
      <c r="P67" s="91">
        <f>SUM(M67:O67)</f>
        <v>0</v>
      </c>
      <c r="Q67" s="96"/>
      <c r="R67" s="100"/>
      <c r="V67" s="35"/>
      <c r="AA67" s="11" t="s">
        <v>90</v>
      </c>
      <c r="AB67" s="96">
        <f t="shared" si="12"/>
        <v>0</v>
      </c>
      <c r="AC67" s="91">
        <f t="shared" si="12"/>
        <v>0</v>
      </c>
      <c r="AD67" s="91">
        <f t="shared" si="12"/>
        <v>0</v>
      </c>
      <c r="AE67" s="91">
        <f t="shared" si="13"/>
        <v>0</v>
      </c>
      <c r="AF67" s="96">
        <f t="shared" si="14"/>
        <v>0</v>
      </c>
    </row>
    <row r="68" spans="1:38">
      <c r="A68" s="11" t="s">
        <v>91</v>
      </c>
      <c r="B68" s="98">
        <v>0</v>
      </c>
      <c r="C68" s="98">
        <v>0</v>
      </c>
      <c r="D68" s="98">
        <v>0</v>
      </c>
      <c r="E68" s="98">
        <f t="shared" si="11"/>
        <v>0</v>
      </c>
      <c r="F68" s="98">
        <v>0</v>
      </c>
      <c r="G68" s="98"/>
      <c r="H68" s="98">
        <f>+E68+F68</f>
        <v>0</v>
      </c>
      <c r="I68" s="41"/>
      <c r="J68" s="41"/>
      <c r="K68" s="41"/>
      <c r="L68" s="11" t="s">
        <v>91</v>
      </c>
      <c r="M68" s="99"/>
      <c r="N68" s="98">
        <v>0</v>
      </c>
      <c r="O68" s="98">
        <v>0</v>
      </c>
      <c r="P68" s="98">
        <f>SUM(M68:O68)</f>
        <v>0</v>
      </c>
      <c r="Q68" s="99"/>
      <c r="R68" s="98">
        <f>+P68+Q68</f>
        <v>0</v>
      </c>
      <c r="AA68" s="11" t="s">
        <v>91</v>
      </c>
      <c r="AB68" s="96">
        <f t="shared" si="12"/>
        <v>0</v>
      </c>
      <c r="AC68" s="96">
        <f t="shared" si="12"/>
        <v>0</v>
      </c>
      <c r="AD68" s="96">
        <f t="shared" si="12"/>
        <v>0</v>
      </c>
      <c r="AE68" s="91">
        <f t="shared" si="13"/>
        <v>0</v>
      </c>
      <c r="AF68" s="96">
        <f t="shared" si="14"/>
        <v>0</v>
      </c>
    </row>
    <row r="69" spans="1:38" ht="13.5" thickBot="1">
      <c r="A69" s="16" t="s">
        <v>31</v>
      </c>
      <c r="B69" s="121">
        <f t="shared" ref="B69:I69" si="15">SUM(B60:B68)</f>
        <v>2072289.8600000003</v>
      </c>
      <c r="C69" s="121">
        <f t="shared" si="15"/>
        <v>43875.28</v>
      </c>
      <c r="D69" s="121">
        <f t="shared" si="15"/>
        <v>-258556.82585600001</v>
      </c>
      <c r="E69" s="121">
        <f t="shared" si="15"/>
        <v>1857608.3141439999</v>
      </c>
      <c r="F69" s="121">
        <f>SUM(F60:F68)</f>
        <v>13205331.129999997</v>
      </c>
      <c r="G69" s="121"/>
      <c r="H69" s="121">
        <f t="shared" si="15"/>
        <v>15062939.444143999</v>
      </c>
      <c r="I69" s="121">
        <f t="shared" si="15"/>
        <v>15062939.439999999</v>
      </c>
      <c r="J69" s="44">
        <f>SUM(J60:J68)</f>
        <v>15062939.440000005</v>
      </c>
      <c r="K69" s="35"/>
      <c r="L69" s="5" t="s">
        <v>31</v>
      </c>
      <c r="M69" s="121">
        <f t="shared" ref="M69:R69" si="16">SUM(M60:M68)</f>
        <v>-15768.42</v>
      </c>
      <c r="N69" s="121">
        <f t="shared" si="16"/>
        <v>-447.45</v>
      </c>
      <c r="O69" s="121">
        <f t="shared" si="16"/>
        <v>-970.44</v>
      </c>
      <c r="P69" s="121">
        <f t="shared" si="16"/>
        <v>-17186.310000000001</v>
      </c>
      <c r="Q69" s="121">
        <f t="shared" si="16"/>
        <v>-103383.83799999999</v>
      </c>
      <c r="R69" s="121">
        <f t="shared" si="16"/>
        <v>-120570.14799999999</v>
      </c>
      <c r="AA69" s="16" t="s">
        <v>31</v>
      </c>
      <c r="AB69" s="120">
        <f t="shared" ref="AB69:AE69" si="17">SUM(AB60:AB68)</f>
        <v>2088058.2700000003</v>
      </c>
      <c r="AC69" s="120">
        <f t="shared" si="17"/>
        <v>44322.720000000001</v>
      </c>
      <c r="AD69" s="120">
        <f t="shared" si="17"/>
        <v>-257586.39585600002</v>
      </c>
      <c r="AE69" s="120">
        <f t="shared" si="17"/>
        <v>1874794.594144</v>
      </c>
      <c r="AF69" s="120">
        <f>SUM(AF60:AF68)</f>
        <v>13308714.989999998</v>
      </c>
    </row>
    <row r="70" spans="1:38" ht="13.5" thickTop="1">
      <c r="A70" s="51"/>
      <c r="B70" s="91"/>
      <c r="C70" s="91"/>
      <c r="D70" s="91"/>
      <c r="E70" s="122" t="s">
        <v>61</v>
      </c>
      <c r="F70" s="91">
        <f>+F10</f>
        <v>41913096.759999998</v>
      </c>
      <c r="K70" s="35"/>
      <c r="L70" s="5"/>
      <c r="M70" s="91"/>
      <c r="N70" s="91"/>
      <c r="O70" s="91"/>
      <c r="P70" s="122" t="s">
        <v>61</v>
      </c>
      <c r="Q70" s="91">
        <f>+Q10</f>
        <v>862302.76999999979</v>
      </c>
      <c r="AA70" s="51"/>
      <c r="AB70" s="91"/>
      <c r="AC70" s="91"/>
      <c r="AD70" s="91"/>
      <c r="AE70" s="122" t="s">
        <v>61</v>
      </c>
      <c r="AF70" s="91">
        <f>+AF10</f>
        <v>41050793.989999995</v>
      </c>
    </row>
    <row r="71" spans="1:38">
      <c r="A71" s="5" t="s">
        <v>56</v>
      </c>
      <c r="B71" s="91"/>
      <c r="C71" s="91"/>
      <c r="D71" s="91"/>
      <c r="E71" s="122" t="s">
        <v>60</v>
      </c>
      <c r="F71" s="98">
        <f>+F69+E69</f>
        <v>15062939.444143998</v>
      </c>
      <c r="G71" s="123">
        <f>+F71/F70</f>
        <v>0.35938502779683412</v>
      </c>
      <c r="H71" s="93" t="s">
        <v>62</v>
      </c>
      <c r="I71" s="93" t="s">
        <v>62</v>
      </c>
      <c r="J71" s="93" t="s">
        <v>62</v>
      </c>
      <c r="L71" s="5" t="s">
        <v>56</v>
      </c>
      <c r="M71" s="91"/>
      <c r="N71" s="91"/>
      <c r="O71" s="91"/>
      <c r="P71" s="122" t="s">
        <v>60</v>
      </c>
      <c r="Q71" s="98">
        <f>+Q69+P69</f>
        <v>-120570.14799999999</v>
      </c>
      <c r="R71" s="123">
        <f>+Q71/Q70</f>
        <v>-0.13982344971476784</v>
      </c>
      <c r="AA71" s="5" t="s">
        <v>56</v>
      </c>
      <c r="AB71" s="91"/>
      <c r="AC71" s="91"/>
      <c r="AD71" s="91"/>
      <c r="AE71" s="122" t="s">
        <v>60</v>
      </c>
      <c r="AF71" s="98">
        <f>+AF69+AE69</f>
        <v>15183509.584143998</v>
      </c>
      <c r="AG71" s="123">
        <f>+AF71/AF70</f>
        <v>0.36987127673688147</v>
      </c>
    </row>
    <row r="72" spans="1:38" ht="13.5" thickBot="1">
      <c r="A72" s="16" t="s">
        <v>78</v>
      </c>
      <c r="B72" s="91"/>
      <c r="C72" s="91"/>
      <c r="D72" s="91"/>
      <c r="E72" s="91" t="s">
        <v>59</v>
      </c>
      <c r="F72" s="120">
        <f>+F70+-F71</f>
        <v>26850157.315856002</v>
      </c>
      <c r="H72" s="91">
        <f>+H69-F71</f>
        <v>0</v>
      </c>
      <c r="I72" s="46">
        <f>+I69-H69</f>
        <v>-4.1439998894929886E-3</v>
      </c>
      <c r="J72" s="46">
        <f>+J69-H69</f>
        <v>-4.1439943015575409E-3</v>
      </c>
      <c r="M72" s="91"/>
      <c r="N72" s="91"/>
      <c r="O72" s="91"/>
      <c r="P72" s="91" t="s">
        <v>59</v>
      </c>
      <c r="Q72" s="120">
        <f>+Q70-Q71</f>
        <v>982872.91799999983</v>
      </c>
      <c r="R72" s="35"/>
      <c r="AA72" s="16" t="s">
        <v>78</v>
      </c>
      <c r="AB72" s="91"/>
      <c r="AC72" s="91"/>
      <c r="AD72" s="91"/>
      <c r="AE72" s="91" t="s">
        <v>59</v>
      </c>
      <c r="AF72" s="120">
        <f>+AF70+-AF71</f>
        <v>25867284.405855998</v>
      </c>
    </row>
    <row r="73" spans="1:38" ht="13.5" thickTop="1">
      <c r="A73" s="5" t="s">
        <v>79</v>
      </c>
      <c r="B73" s="91" t="s">
        <v>82</v>
      </c>
      <c r="C73" s="91"/>
      <c r="D73" s="91"/>
      <c r="E73" s="91"/>
      <c r="F73" s="126"/>
      <c r="H73" s="91">
        <f>+H69-F71</f>
        <v>0</v>
      </c>
      <c r="L73" s="16" t="s">
        <v>78</v>
      </c>
      <c r="M73" s="91"/>
      <c r="N73" s="91"/>
      <c r="O73" s="91"/>
      <c r="AA73" s="5" t="s">
        <v>79</v>
      </c>
      <c r="AB73" s="91" t="s">
        <v>82</v>
      </c>
      <c r="AC73" s="91"/>
      <c r="AD73" s="91"/>
      <c r="AE73" s="91"/>
      <c r="AF73" s="91"/>
    </row>
    <row r="74" spans="1:38">
      <c r="A74" s="5" t="s">
        <v>80</v>
      </c>
      <c r="B74" s="91"/>
      <c r="C74" s="91"/>
      <c r="D74" s="91"/>
      <c r="E74" s="91"/>
      <c r="F74" s="126"/>
      <c r="G74" s="96"/>
      <c r="H74" s="21"/>
      <c r="L74" s="5" t="s">
        <v>80</v>
      </c>
      <c r="M74" s="91"/>
      <c r="N74" s="91"/>
      <c r="O74" s="91"/>
      <c r="AA74" s="5" t="s">
        <v>80</v>
      </c>
      <c r="AB74" s="91"/>
      <c r="AC74" s="91"/>
      <c r="AD74" s="91"/>
      <c r="AE74" s="109"/>
      <c r="AF74" s="91"/>
    </row>
    <row r="75" spans="1:38">
      <c r="A75" s="5" t="s">
        <v>81</v>
      </c>
      <c r="E75" s="91"/>
      <c r="F75" s="25"/>
      <c r="H75" s="91"/>
      <c r="I75" s="35"/>
      <c r="J75" s="35"/>
      <c r="L75" s="5" t="s">
        <v>81</v>
      </c>
      <c r="M75" s="98" t="s">
        <v>83</v>
      </c>
      <c r="N75" s="98"/>
      <c r="O75" s="98"/>
      <c r="AA75" s="5" t="s">
        <v>81</v>
      </c>
      <c r="AB75" s="109"/>
      <c r="AC75" s="109"/>
      <c r="AD75" s="109"/>
      <c r="AE75" s="109"/>
      <c r="AF75" s="91"/>
    </row>
    <row r="76" spans="1:38">
      <c r="A76" s="5"/>
      <c r="B76" s="98" t="s">
        <v>83</v>
      </c>
      <c r="C76" s="98" t="s">
        <v>119</v>
      </c>
      <c r="D76" s="98"/>
      <c r="E76" s="91"/>
      <c r="F76" s="25"/>
      <c r="H76" s="91"/>
      <c r="I76" s="35"/>
      <c r="J76" s="35"/>
      <c r="AA76" s="5"/>
      <c r="AB76" s="98" t="s">
        <v>83</v>
      </c>
      <c r="AC76" s="98"/>
      <c r="AD76" s="98"/>
      <c r="AE76" s="109"/>
      <c r="AF76" s="91"/>
    </row>
    <row r="77" spans="1:38">
      <c r="A77" s="5"/>
      <c r="B77" s="91"/>
      <c r="C77" s="91"/>
      <c r="D77" s="91"/>
      <c r="E77" s="91"/>
      <c r="H77" s="91"/>
      <c r="I77" s="35"/>
      <c r="J77" s="35"/>
      <c r="AE77" s="109"/>
      <c r="AF77" s="91"/>
    </row>
    <row r="78" spans="1:38">
      <c r="A78" s="5"/>
      <c r="B78" s="91"/>
      <c r="C78" s="91"/>
      <c r="D78" s="91"/>
      <c r="E78" s="91"/>
      <c r="H78" s="91"/>
      <c r="I78" s="35"/>
      <c r="J78" s="35"/>
      <c r="AA78" s="5"/>
      <c r="AB78" s="5"/>
      <c r="AC78" s="5"/>
      <c r="AD78" s="5"/>
      <c r="AE78" s="90"/>
      <c r="AF78" s="91"/>
      <c r="AG78" s="5"/>
      <c r="AH78" s="5"/>
      <c r="AI78" s="5"/>
      <c r="AJ78" s="5"/>
      <c r="AK78" s="5"/>
      <c r="AL78" s="5"/>
    </row>
    <row r="79" spans="1:38">
      <c r="A79" s="5"/>
      <c r="C79" s="109" t="s">
        <v>120</v>
      </c>
      <c r="E79" s="109" t="s">
        <v>121</v>
      </c>
      <c r="H79" s="91"/>
      <c r="I79" s="35"/>
      <c r="J79" s="35"/>
      <c r="AA79" s="5"/>
      <c r="AB79" s="5"/>
      <c r="AC79" s="5"/>
      <c r="AD79" s="5"/>
      <c r="AE79" s="90"/>
      <c r="AF79" s="91"/>
      <c r="AG79" s="5"/>
      <c r="AH79" s="5"/>
      <c r="AI79" s="5"/>
      <c r="AJ79" s="5"/>
      <c r="AK79" s="5"/>
      <c r="AL79" s="5"/>
    </row>
    <row r="80" spans="1:38">
      <c r="C80" s="100">
        <v>35137703.710000001</v>
      </c>
      <c r="D80" s="100" t="s">
        <v>122</v>
      </c>
      <c r="E80" s="100">
        <v>12516788.939999999</v>
      </c>
      <c r="AA80" s="5"/>
      <c r="AB80" s="5"/>
      <c r="AC80" s="5"/>
      <c r="AD80" s="5"/>
      <c r="AE80" s="90"/>
      <c r="AF80" s="91"/>
      <c r="AG80" s="5"/>
      <c r="AH80" s="5"/>
      <c r="AI80" s="5"/>
      <c r="AJ80" s="5"/>
      <c r="AK80" s="5"/>
      <c r="AL80" s="5"/>
    </row>
    <row r="81" spans="2:38">
      <c r="C81" s="100">
        <v>35335587.579999998</v>
      </c>
      <c r="D81" s="100" t="s">
        <v>116</v>
      </c>
      <c r="E81" s="100">
        <v>12593053.58</v>
      </c>
      <c r="AA81" s="5"/>
      <c r="AB81" s="5"/>
      <c r="AC81" s="5"/>
      <c r="AD81" s="5"/>
      <c r="AE81" s="90"/>
      <c r="AF81" s="91"/>
      <c r="AG81" s="5"/>
      <c r="AH81" s="5"/>
      <c r="AI81" s="5"/>
      <c r="AJ81" s="5"/>
      <c r="AK81" s="5"/>
      <c r="AL81" s="5"/>
    </row>
    <row r="82" spans="2:38">
      <c r="C82" s="100">
        <f>+C80-C81</f>
        <v>-197883.86999999732</v>
      </c>
      <c r="D82" s="100" t="s">
        <v>102</v>
      </c>
      <c r="E82" s="100">
        <f>+E80-E81</f>
        <v>-76264.640000000596</v>
      </c>
      <c r="AA82" s="5"/>
      <c r="AB82" s="5"/>
      <c r="AC82" s="5"/>
      <c r="AD82" s="5"/>
      <c r="AE82" s="90"/>
      <c r="AF82" s="91"/>
      <c r="AG82" s="5"/>
      <c r="AH82" s="5"/>
      <c r="AI82" s="5"/>
      <c r="AJ82" s="5"/>
      <c r="AK82" s="5"/>
      <c r="AL82" s="5"/>
    </row>
    <row r="83" spans="2:38">
      <c r="B83" s="109" t="s">
        <v>123</v>
      </c>
      <c r="C83" s="100">
        <f>+C82*0.38575</f>
        <v>-76333.702852498958</v>
      </c>
      <c r="D83" s="100"/>
      <c r="E83" s="100"/>
      <c r="AA83" s="5"/>
      <c r="AB83" s="5"/>
      <c r="AC83" s="5"/>
      <c r="AD83" s="5"/>
      <c r="AE83" s="90"/>
      <c r="AF83" s="91"/>
      <c r="AG83" s="5"/>
      <c r="AH83" s="5"/>
      <c r="AI83" s="5"/>
      <c r="AJ83" s="5"/>
      <c r="AK83" s="5"/>
      <c r="AL83" s="5"/>
    </row>
    <row r="84" spans="2:38">
      <c r="AA84" s="5"/>
      <c r="AB84" s="5"/>
      <c r="AC84" s="5"/>
      <c r="AD84" s="5"/>
      <c r="AE84" s="90"/>
      <c r="AF84" s="91"/>
      <c r="AG84" s="5"/>
      <c r="AH84" s="5"/>
      <c r="AI84" s="5"/>
      <c r="AJ84" s="5"/>
      <c r="AK84" s="5"/>
      <c r="AL84" s="5"/>
    </row>
    <row r="85" spans="2:38">
      <c r="AA85" s="5"/>
      <c r="AB85" s="5"/>
      <c r="AC85" s="5"/>
      <c r="AD85" s="5"/>
      <c r="AE85" s="90"/>
      <c r="AF85" s="91"/>
      <c r="AG85" s="5"/>
      <c r="AH85" s="5"/>
      <c r="AI85" s="5"/>
      <c r="AJ85" s="5"/>
      <c r="AK85" s="5"/>
      <c r="AL85" s="5"/>
    </row>
    <row r="86" spans="2:38">
      <c r="E86" s="109">
        <v>1600582.614144</v>
      </c>
      <c r="F86" s="91">
        <v>12102600.014999999</v>
      </c>
      <c r="AA86" s="5"/>
      <c r="AB86" s="5"/>
      <c r="AC86" s="5"/>
      <c r="AD86" s="5"/>
      <c r="AE86" s="90"/>
      <c r="AF86" s="91"/>
      <c r="AG86" s="5"/>
      <c r="AH86" s="5"/>
      <c r="AI86" s="5"/>
      <c r="AJ86" s="5"/>
      <c r="AK86" s="5"/>
      <c r="AL86" s="5"/>
    </row>
    <row r="87" spans="2:38">
      <c r="AA87" s="5"/>
      <c r="AB87" s="5"/>
      <c r="AC87" s="5"/>
      <c r="AD87" s="5"/>
      <c r="AE87" s="90"/>
      <c r="AF87" s="91"/>
      <c r="AG87" s="5"/>
      <c r="AH87" s="5"/>
      <c r="AI87" s="5"/>
      <c r="AJ87" s="5"/>
      <c r="AK87" s="5"/>
      <c r="AL87" s="5"/>
    </row>
    <row r="88" spans="2:38">
      <c r="AA88" s="5"/>
      <c r="AB88" s="5"/>
      <c r="AC88" s="5"/>
      <c r="AD88" s="5"/>
      <c r="AE88" s="90"/>
      <c r="AF88" s="91"/>
      <c r="AG88" s="5"/>
      <c r="AH88" s="5"/>
      <c r="AI88" s="5"/>
      <c r="AJ88" s="5"/>
      <c r="AK88" s="5"/>
      <c r="AL88" s="5"/>
    </row>
    <row r="89" spans="2:38">
      <c r="AA89" s="5"/>
      <c r="AB89" s="5"/>
      <c r="AC89" s="5"/>
      <c r="AD89" s="5"/>
      <c r="AE89" s="90"/>
      <c r="AF89" s="91"/>
      <c r="AG89" s="5"/>
      <c r="AH89" s="5"/>
      <c r="AI89" s="5"/>
      <c r="AJ89" s="5"/>
      <c r="AK89" s="5"/>
      <c r="AL89" s="5"/>
    </row>
    <row r="90" spans="2:38">
      <c r="AA90" s="5"/>
      <c r="AB90" s="5"/>
      <c r="AC90" s="5"/>
      <c r="AD90" s="5"/>
      <c r="AE90" s="90"/>
      <c r="AF90" s="91"/>
      <c r="AG90" s="5"/>
      <c r="AH90" s="5"/>
      <c r="AI90" s="5"/>
      <c r="AJ90" s="5"/>
      <c r="AK90" s="5"/>
      <c r="AL90" s="5"/>
    </row>
    <row r="91" spans="2:38">
      <c r="AA91" s="5"/>
      <c r="AB91" s="5"/>
      <c r="AC91" s="5"/>
      <c r="AD91" s="5"/>
      <c r="AE91" s="90"/>
      <c r="AF91" s="91"/>
      <c r="AG91" s="5"/>
      <c r="AH91" s="5"/>
      <c r="AI91" s="5"/>
      <c r="AJ91" s="5"/>
      <c r="AK91" s="5"/>
      <c r="AL91" s="5"/>
    </row>
    <row r="92" spans="2:38">
      <c r="AA92" s="5"/>
      <c r="AB92" s="5"/>
      <c r="AC92" s="5"/>
      <c r="AD92" s="5"/>
      <c r="AE92" s="5"/>
      <c r="AF92" s="5"/>
      <c r="AG92" s="5"/>
      <c r="AH92" s="5"/>
      <c r="AI92" s="5"/>
      <c r="AJ92" s="5"/>
      <c r="AK92" s="5"/>
      <c r="AL92" s="5"/>
    </row>
    <row r="93" spans="2:38">
      <c r="AA93" s="5"/>
      <c r="AB93" s="5"/>
      <c r="AC93" s="5"/>
      <c r="AD93" s="5"/>
      <c r="AE93" s="5"/>
      <c r="AF93" s="5"/>
      <c r="AG93" s="5"/>
      <c r="AH93" s="5"/>
      <c r="AI93" s="5"/>
      <c r="AJ93" s="5"/>
      <c r="AK93" s="5"/>
      <c r="AL93" s="5"/>
    </row>
    <row r="94" spans="2:38">
      <c r="AA94" s="5"/>
      <c r="AB94" s="5"/>
      <c r="AC94" s="5"/>
      <c r="AD94" s="5"/>
      <c r="AE94" s="5"/>
      <c r="AF94" s="5"/>
      <c r="AG94" s="5"/>
      <c r="AH94" s="5"/>
      <c r="AI94" s="5"/>
      <c r="AJ94" s="5"/>
      <c r="AK94" s="5"/>
      <c r="AL94" s="5"/>
    </row>
    <row r="95" spans="2:38">
      <c r="AA95" s="5"/>
      <c r="AB95" s="5"/>
      <c r="AC95" s="5"/>
      <c r="AD95" s="5"/>
      <c r="AE95" s="5"/>
      <c r="AF95" s="5"/>
      <c r="AG95" s="5"/>
      <c r="AH95" s="5"/>
      <c r="AI95" s="5"/>
      <c r="AJ95" s="5"/>
      <c r="AK95" s="5"/>
      <c r="AL95" s="5"/>
    </row>
    <row r="99" spans="3:5">
      <c r="C99" s="100"/>
      <c r="D99" s="100"/>
      <c r="E99" s="100"/>
    </row>
  </sheetData>
  <pageMargins left="0.75" right="0.25" top="0.25" bottom="0.5" header="0.5" footer="0.25"/>
  <pageSetup scale="70" orientation="portrait" r:id="rId1"/>
  <headerFooter alignWithMargins="0">
    <oddFooter>&amp;L&amp;10&amp;F\&amp;A&amp;R&amp;10&amp;D &amp;T</oddFooter>
  </headerFooter>
  <legacyDrawing r:id="rId2"/>
</worksheet>
</file>

<file path=xl/worksheets/sheet4.xml><?xml version="1.0" encoding="utf-8"?>
<worksheet xmlns="http://schemas.openxmlformats.org/spreadsheetml/2006/main" xmlns:r="http://schemas.openxmlformats.org/officeDocument/2006/relationships">
  <sheetPr codeName="Sheet3">
    <pageSetUpPr fitToPage="1"/>
  </sheetPr>
  <dimension ref="A1:AI97"/>
  <sheetViews>
    <sheetView view="pageBreakPreview" zoomScale="90" zoomScaleNormal="100" zoomScaleSheetLayoutView="90" workbookViewId="0">
      <pane xSplit="1" ySplit="7" topLeftCell="AB28" activePane="bottomRight" state="frozen"/>
      <selection activeCell="A43" sqref="A43"/>
      <selection pane="topRight" activeCell="A43" sqref="A43"/>
      <selection pane="bottomLeft" activeCell="A43" sqref="A43"/>
      <selection pane="bottomRight" activeCell="AB51" sqref="AB51"/>
    </sheetView>
  </sheetViews>
  <sheetFormatPr defaultRowHeight="12.75"/>
  <cols>
    <col min="1" max="1" width="43.25" style="25" customWidth="1"/>
    <col min="2" max="2" width="18.5" style="18" customWidth="1"/>
    <col min="3" max="3" width="17.75" style="18" customWidth="1"/>
    <col min="4" max="4" width="19.75" style="18" customWidth="1"/>
    <col min="5" max="5" width="20.625" style="18" customWidth="1"/>
    <col min="6" max="6" width="18.75" style="7" customWidth="1"/>
    <col min="7" max="7" width="8.75" style="7" customWidth="1"/>
    <col min="8" max="9" width="19.25" style="25" customWidth="1"/>
    <col min="10" max="10" width="22.125" style="25" customWidth="1"/>
    <col min="11" max="11" width="16" style="25" customWidth="1"/>
    <col min="12" max="12" width="40.5" style="25" customWidth="1"/>
    <col min="13" max="13" width="16.125" style="26" customWidth="1"/>
    <col min="14" max="14" width="17.25" style="26" customWidth="1"/>
    <col min="15" max="15" width="15.75" style="26" customWidth="1"/>
    <col min="16" max="16" width="13.875" style="26" bestFit="1" customWidth="1"/>
    <col min="17" max="17" width="18.25" style="26" customWidth="1"/>
    <col min="18" max="18" width="18" style="25" customWidth="1"/>
    <col min="19" max="19" width="14.75" style="25" bestFit="1" customWidth="1"/>
    <col min="20" max="20" width="12.125" style="25" bestFit="1" customWidth="1"/>
    <col min="21" max="21" width="11.125" style="25" customWidth="1"/>
    <col min="22" max="22" width="12.875" style="25" customWidth="1"/>
    <col min="23" max="26" width="9" style="25"/>
    <col min="27" max="27" width="34.875" style="25" customWidth="1"/>
    <col min="28" max="32" width="18.625" style="25" customWidth="1"/>
    <col min="33" max="33" width="15.875" style="25" customWidth="1"/>
    <col min="34" max="34" width="9" style="25"/>
    <col min="35" max="35" width="16.125" style="25" bestFit="1" customWidth="1"/>
    <col min="36" max="16384" width="9" style="25"/>
  </cols>
  <sheetData>
    <row r="1" spans="1:35">
      <c r="A1" s="1" t="s">
        <v>32</v>
      </c>
      <c r="B1" s="2"/>
      <c r="C1" s="2"/>
      <c r="D1" s="2"/>
      <c r="E1" s="2"/>
      <c r="F1" s="3"/>
      <c r="G1" s="3"/>
      <c r="L1" s="1" t="s">
        <v>32</v>
      </c>
      <c r="M1" s="3"/>
      <c r="N1" s="3"/>
      <c r="O1" s="3"/>
      <c r="P1" s="3"/>
      <c r="Q1" s="3"/>
      <c r="AA1" s="1" t="s">
        <v>32</v>
      </c>
      <c r="AB1" s="2"/>
      <c r="AC1" s="2"/>
      <c r="AD1" s="2"/>
      <c r="AE1" s="2"/>
      <c r="AF1" s="3"/>
    </row>
    <row r="2" spans="1:35">
      <c r="A2" s="1" t="s">
        <v>33</v>
      </c>
      <c r="B2" s="2"/>
      <c r="C2" s="2"/>
      <c r="D2" s="2"/>
      <c r="E2" s="2"/>
      <c r="F2" s="3"/>
      <c r="G2" s="3"/>
      <c r="L2" s="1" t="s">
        <v>65</v>
      </c>
      <c r="M2" s="3"/>
      <c r="N2" s="3"/>
      <c r="O2" s="3"/>
      <c r="P2" s="3"/>
      <c r="Q2" s="3"/>
      <c r="AA2" s="1" t="s">
        <v>97</v>
      </c>
      <c r="AB2" s="2"/>
      <c r="AC2" s="2"/>
      <c r="AD2" s="2"/>
      <c r="AE2" s="2"/>
      <c r="AF2" s="3"/>
    </row>
    <row r="3" spans="1:35">
      <c r="A3" s="68" t="s">
        <v>107</v>
      </c>
      <c r="B3" s="2"/>
      <c r="C3" s="2"/>
      <c r="D3" s="2"/>
      <c r="E3" s="2"/>
      <c r="F3" s="3"/>
      <c r="G3" s="3"/>
      <c r="L3" s="1" t="str">
        <f>+A3</f>
        <v>March YTD, 2011</v>
      </c>
      <c r="M3" s="3"/>
      <c r="N3" s="3"/>
      <c r="O3" s="3"/>
      <c r="P3" s="3"/>
      <c r="Q3" s="3"/>
      <c r="AA3" s="1" t="str">
        <f>+A3</f>
        <v>March YTD, 2011</v>
      </c>
      <c r="AB3" s="2"/>
      <c r="AC3" s="2"/>
      <c r="AD3" s="2"/>
      <c r="AE3" s="2"/>
      <c r="AF3" s="3"/>
    </row>
    <row r="4" spans="1:35">
      <c r="A4" s="4" t="s">
        <v>34</v>
      </c>
      <c r="B4" s="2"/>
      <c r="C4" s="2"/>
      <c r="D4" s="2"/>
      <c r="E4" s="2"/>
      <c r="F4" s="3"/>
      <c r="G4" s="3"/>
      <c r="H4" s="31"/>
      <c r="L4" s="4" t="s">
        <v>34</v>
      </c>
      <c r="M4" s="3"/>
      <c r="N4" s="3"/>
      <c r="O4" s="3"/>
      <c r="P4" s="3"/>
      <c r="Q4" s="3"/>
      <c r="R4" s="31"/>
      <c r="AA4" s="4" t="s">
        <v>34</v>
      </c>
      <c r="AB4" s="2"/>
      <c r="AC4" s="2"/>
      <c r="AD4" s="2"/>
      <c r="AE4" s="2"/>
      <c r="AF4" s="3"/>
    </row>
    <row r="5" spans="1:35" ht="15.75">
      <c r="A5" s="5" t="s">
        <v>94</v>
      </c>
      <c r="B5" s="55"/>
      <c r="C5" s="6"/>
      <c r="D5" s="6"/>
      <c r="E5" s="6"/>
      <c r="L5" s="5" t="s">
        <v>94</v>
      </c>
      <c r="M5" s="55">
        <f>+B5</f>
        <v>0</v>
      </c>
      <c r="N5" s="7"/>
      <c r="O5" s="7"/>
      <c r="P5" s="7"/>
      <c r="Q5" s="7"/>
      <c r="AA5" s="5" t="s">
        <v>94</v>
      </c>
      <c r="AB5" s="6"/>
      <c r="AC5" s="6"/>
      <c r="AD5" s="6"/>
      <c r="AE5" s="6"/>
      <c r="AF5" s="7"/>
    </row>
    <row r="6" spans="1:35">
      <c r="A6" s="5"/>
      <c r="B6" s="6"/>
      <c r="C6" s="6"/>
      <c r="D6" s="6"/>
      <c r="E6" s="8" t="s">
        <v>43</v>
      </c>
      <c r="H6" s="31"/>
      <c r="L6" s="5"/>
      <c r="M6" s="7"/>
      <c r="N6" s="7"/>
      <c r="O6" s="7"/>
      <c r="P6" s="32" t="s">
        <v>43</v>
      </c>
      <c r="Q6" s="7"/>
      <c r="R6" s="31"/>
      <c r="AA6" s="5"/>
      <c r="AB6" s="6"/>
      <c r="AC6" s="6"/>
      <c r="AD6" s="6"/>
      <c r="AE6" s="8" t="s">
        <v>43</v>
      </c>
      <c r="AF6" s="7"/>
    </row>
    <row r="7" spans="1:35">
      <c r="A7" s="5"/>
      <c r="B7" s="9" t="s">
        <v>10</v>
      </c>
      <c r="C7" s="9" t="s">
        <v>11</v>
      </c>
      <c r="D7" s="9" t="s">
        <v>12</v>
      </c>
      <c r="E7" s="9" t="s">
        <v>35</v>
      </c>
      <c r="F7" s="10" t="s">
        <v>13</v>
      </c>
      <c r="L7" s="5"/>
      <c r="M7" s="10" t="s">
        <v>10</v>
      </c>
      <c r="N7" s="10" t="s">
        <v>11</v>
      </c>
      <c r="O7" s="10" t="s">
        <v>12</v>
      </c>
      <c r="P7" s="10" t="s">
        <v>35</v>
      </c>
      <c r="Q7" s="10" t="s">
        <v>13</v>
      </c>
      <c r="AA7" s="5"/>
      <c r="AB7" s="9" t="s">
        <v>10</v>
      </c>
      <c r="AC7" s="9" t="s">
        <v>11</v>
      </c>
      <c r="AD7" s="9" t="s">
        <v>12</v>
      </c>
      <c r="AE7" s="9" t="s">
        <v>35</v>
      </c>
      <c r="AF7" s="10" t="s">
        <v>13</v>
      </c>
    </row>
    <row r="8" spans="1:35">
      <c r="A8" s="11" t="s">
        <v>49</v>
      </c>
      <c r="B8" s="7">
        <f>+F8</f>
        <v>22160560.050000001</v>
      </c>
      <c r="C8" s="7">
        <f>+F8</f>
        <v>22160560.050000001</v>
      </c>
      <c r="D8" s="7">
        <f>+B8</f>
        <v>22160560.050000001</v>
      </c>
      <c r="E8" s="6"/>
      <c r="F8" s="78">
        <v>22160560.050000001</v>
      </c>
      <c r="G8" s="15"/>
      <c r="H8" s="34" t="s">
        <v>57</v>
      </c>
      <c r="I8" s="35"/>
      <c r="J8" s="35"/>
      <c r="L8" s="11" t="s">
        <v>49</v>
      </c>
      <c r="M8" s="7">
        <f>+Q8</f>
        <v>1586976.73</v>
      </c>
      <c r="N8" s="7">
        <f>+Q8</f>
        <v>1586976.73</v>
      </c>
      <c r="O8" s="7">
        <f>+M8</f>
        <v>1586976.73</v>
      </c>
      <c r="P8" s="7"/>
      <c r="Q8" s="77">
        <v>1586976.73</v>
      </c>
      <c r="R8" s="34" t="s">
        <v>57</v>
      </c>
      <c r="AA8" s="11" t="s">
        <v>49</v>
      </c>
      <c r="AB8" s="7">
        <f>+AF8</f>
        <v>20573583.32</v>
      </c>
      <c r="AC8" s="7">
        <f>+AF8</f>
        <v>20573583.32</v>
      </c>
      <c r="AD8" s="7">
        <f>+AB8</f>
        <v>20573583.32</v>
      </c>
      <c r="AE8" s="6"/>
      <c r="AF8" s="7">
        <f>+F8-Q8</f>
        <v>20573583.32</v>
      </c>
    </row>
    <row r="9" spans="1:35">
      <c r="A9" s="12" t="s">
        <v>64</v>
      </c>
      <c r="B9" s="13">
        <f>+F9</f>
        <v>-2159082.2799999998</v>
      </c>
      <c r="C9" s="13">
        <f>+F9</f>
        <v>-2159082.2799999998</v>
      </c>
      <c r="D9" s="13">
        <f>+B9</f>
        <v>-2159082.2799999998</v>
      </c>
      <c r="E9" s="6"/>
      <c r="F9" s="79">
        <v>-2159082.2799999998</v>
      </c>
      <c r="G9" s="15"/>
      <c r="H9" s="34"/>
      <c r="I9" s="35"/>
      <c r="J9" s="35"/>
      <c r="L9" s="12" t="s">
        <v>64</v>
      </c>
      <c r="M9" s="13">
        <f>+Q9</f>
        <v>0</v>
      </c>
      <c r="N9" s="13">
        <f>+Q9</f>
        <v>0</v>
      </c>
      <c r="O9" s="13">
        <f>+M9</f>
        <v>0</v>
      </c>
      <c r="P9" s="7"/>
      <c r="Q9" s="24">
        <v>0</v>
      </c>
      <c r="R9" s="34"/>
      <c r="AA9" s="12" t="s">
        <v>64</v>
      </c>
      <c r="AB9" s="13">
        <f>+AF9</f>
        <v>-2159082.2799999998</v>
      </c>
      <c r="AC9" s="13">
        <f>+AF9</f>
        <v>-2159082.2799999998</v>
      </c>
      <c r="AD9" s="13">
        <f>+AB9</f>
        <v>-2159082.2799999998</v>
      </c>
      <c r="AE9" s="6"/>
      <c r="AF9" s="13">
        <f>+F9-Q9</f>
        <v>-2159082.2799999998</v>
      </c>
    </row>
    <row r="10" spans="1:35">
      <c r="A10" s="14" t="s">
        <v>49</v>
      </c>
      <c r="B10" s="7">
        <f>+B8+B9</f>
        <v>20001477.77</v>
      </c>
      <c r="C10" s="7">
        <f>+C8+C9</f>
        <v>20001477.77</v>
      </c>
      <c r="D10" s="7">
        <f>+D8+D9</f>
        <v>20001477.77</v>
      </c>
      <c r="E10" s="6"/>
      <c r="F10" s="7">
        <f>+F8+F9</f>
        <v>20001477.77</v>
      </c>
      <c r="G10" s="15"/>
      <c r="H10" s="34"/>
      <c r="I10" s="35"/>
      <c r="J10" s="35"/>
      <c r="L10" s="14" t="s">
        <v>49</v>
      </c>
      <c r="M10" s="7">
        <f>+M8+M9</f>
        <v>1586976.73</v>
      </c>
      <c r="N10" s="7">
        <f>+N8+N9</f>
        <v>1586976.73</v>
      </c>
      <c r="O10" s="7">
        <f>+O8+O9</f>
        <v>1586976.73</v>
      </c>
      <c r="P10" s="7"/>
      <c r="Q10" s="7">
        <f>+Q8+Q9</f>
        <v>1586976.73</v>
      </c>
      <c r="R10" s="34"/>
      <c r="AA10" s="14" t="s">
        <v>49</v>
      </c>
      <c r="AB10" s="7">
        <f>+AB8+AB9</f>
        <v>18414501.039999999</v>
      </c>
      <c r="AC10" s="7">
        <f>+AC8+AC9</f>
        <v>18414501.039999999</v>
      </c>
      <c r="AD10" s="7">
        <f>+AD8+AD9</f>
        <v>18414501.039999999</v>
      </c>
      <c r="AE10" s="6"/>
      <c r="AF10" s="7">
        <f>+AF8+AF9</f>
        <v>18414501.039999999</v>
      </c>
    </row>
    <row r="11" spans="1:35" ht="13.5" thickBot="1">
      <c r="A11" s="11"/>
      <c r="B11" s="7"/>
      <c r="C11" s="7"/>
      <c r="D11" s="7"/>
      <c r="E11" s="6"/>
      <c r="F11" s="15"/>
      <c r="G11" s="15"/>
      <c r="H11" s="34"/>
      <c r="I11" s="35"/>
      <c r="J11" s="35"/>
      <c r="L11" s="11"/>
      <c r="M11" s="7"/>
      <c r="N11" s="7"/>
      <c r="O11" s="7"/>
      <c r="P11" s="7"/>
      <c r="Q11" s="15"/>
      <c r="R11" s="34"/>
      <c r="AA11" s="11"/>
      <c r="AB11" s="7"/>
      <c r="AC11" s="7"/>
      <c r="AD11" s="7"/>
      <c r="AE11" s="6"/>
      <c r="AF11" s="15"/>
    </row>
    <row r="12" spans="1:35">
      <c r="A12" s="16" t="s">
        <v>14</v>
      </c>
      <c r="B12" s="7"/>
      <c r="C12" s="6"/>
      <c r="D12" s="6"/>
      <c r="E12" s="6"/>
      <c r="H12" s="67" t="s">
        <v>106</v>
      </c>
      <c r="I12" s="58"/>
      <c r="J12" s="59"/>
      <c r="K12" s="35"/>
      <c r="L12" s="16" t="s">
        <v>14</v>
      </c>
      <c r="M12" s="7"/>
      <c r="N12" s="7"/>
      <c r="O12" s="7"/>
      <c r="P12" s="7"/>
      <c r="Q12" s="7"/>
      <c r="AA12" s="16" t="s">
        <v>14</v>
      </c>
      <c r="AB12" s="7"/>
      <c r="AC12" s="6"/>
      <c r="AD12" s="6"/>
      <c r="AE12" s="6"/>
      <c r="AF12" s="7"/>
    </row>
    <row r="13" spans="1:35">
      <c r="A13" s="5" t="s">
        <v>15</v>
      </c>
      <c r="B13" s="6"/>
      <c r="C13" s="6"/>
      <c r="D13" s="6"/>
      <c r="E13" s="6"/>
      <c r="H13" s="60" t="s">
        <v>4</v>
      </c>
      <c r="I13" s="33" t="s">
        <v>58</v>
      </c>
      <c r="J13" s="61" t="s">
        <v>99</v>
      </c>
      <c r="L13" s="5" t="s">
        <v>15</v>
      </c>
      <c r="M13" s="7"/>
      <c r="N13" s="7"/>
      <c r="O13" s="7"/>
      <c r="P13" s="7"/>
      <c r="Q13" s="7"/>
      <c r="R13" s="35"/>
      <c r="AA13" s="5" t="s">
        <v>15</v>
      </c>
      <c r="AB13" s="6"/>
      <c r="AC13" s="6"/>
      <c r="AD13" s="6"/>
      <c r="AE13" s="6"/>
      <c r="AF13" s="7"/>
    </row>
    <row r="14" spans="1:35">
      <c r="A14" s="5" t="s">
        <v>16</v>
      </c>
      <c r="B14" s="7">
        <f>+F14</f>
        <v>531538.62</v>
      </c>
      <c r="C14" s="7">
        <f>+F14</f>
        <v>531538.62</v>
      </c>
      <c r="D14" s="7">
        <f>+F14</f>
        <v>531538.62</v>
      </c>
      <c r="E14" s="7"/>
      <c r="F14" s="69">
        <f>+((7688.67+2118465.85)/12*3)-0.01</f>
        <v>531538.62</v>
      </c>
      <c r="G14" s="56"/>
      <c r="H14" s="62" t="s">
        <v>104</v>
      </c>
      <c r="I14" s="7">
        <v>7688.67</v>
      </c>
      <c r="J14" s="63">
        <v>9455.82</v>
      </c>
      <c r="K14" s="5"/>
      <c r="L14" s="5" t="s">
        <v>16</v>
      </c>
      <c r="M14" s="7">
        <f>+Q14</f>
        <v>0</v>
      </c>
      <c r="N14" s="7">
        <f>+Q14</f>
        <v>0</v>
      </c>
      <c r="O14" s="7">
        <f>+Q14</f>
        <v>0</v>
      </c>
      <c r="P14" s="7"/>
      <c r="Q14" s="36">
        <v>0</v>
      </c>
      <c r="R14" s="31" t="s">
        <v>4</v>
      </c>
      <c r="AA14" s="5" t="s">
        <v>16</v>
      </c>
      <c r="AB14" s="7">
        <f>+AF14</f>
        <v>531538.62</v>
      </c>
      <c r="AC14" s="7">
        <f>+AF14</f>
        <v>531538.62</v>
      </c>
      <c r="AD14" s="7">
        <f>+AF14</f>
        <v>531538.62</v>
      </c>
      <c r="AE14" s="7"/>
      <c r="AF14" s="7">
        <f t="shared" ref="AF14:AF19" si="0">+F14-Q14</f>
        <v>531538.62</v>
      </c>
      <c r="AG14" s="31" t="s">
        <v>4</v>
      </c>
      <c r="AI14" s="26">
        <v>33870.720000000001</v>
      </c>
    </row>
    <row r="15" spans="1:35" ht="13.5" thickBot="1">
      <c r="A15" s="11" t="s">
        <v>1</v>
      </c>
      <c r="B15" s="77">
        <f>(+((9455.82+2087888.69)-(7688.67+2118465.85))/12*3)+0.01</f>
        <v>-7202.4925000000603</v>
      </c>
      <c r="C15" s="7">
        <f>+B15</f>
        <v>-7202.4925000000603</v>
      </c>
      <c r="D15" s="7">
        <f>+B15</f>
        <v>-7202.4925000000603</v>
      </c>
      <c r="E15" s="56"/>
      <c r="F15" s="7">
        <v>0</v>
      </c>
      <c r="H15" s="64" t="s">
        <v>105</v>
      </c>
      <c r="I15" s="65">
        <v>2118465.85</v>
      </c>
      <c r="J15" s="66">
        <v>2087888.69</v>
      </c>
      <c r="K15" s="5"/>
      <c r="L15" s="11" t="s">
        <v>1</v>
      </c>
      <c r="M15" s="15">
        <v>0</v>
      </c>
      <c r="N15" s="7">
        <f>+M15</f>
        <v>0</v>
      </c>
      <c r="O15" s="7">
        <f>+M15</f>
        <v>0</v>
      </c>
      <c r="P15" s="7"/>
      <c r="Q15" s="15">
        <v>0</v>
      </c>
      <c r="R15" s="31"/>
      <c r="AA15" s="11" t="s">
        <v>1</v>
      </c>
      <c r="AB15" s="7">
        <f>+B15</f>
        <v>-7202.4925000000603</v>
      </c>
      <c r="AC15" s="7">
        <f>+AB15</f>
        <v>-7202.4925000000603</v>
      </c>
      <c r="AD15" s="7">
        <f>+AB15</f>
        <v>-7202.4925000000603</v>
      </c>
      <c r="AE15" s="7"/>
      <c r="AF15" s="7">
        <f t="shared" si="0"/>
        <v>0</v>
      </c>
      <c r="AG15" s="31"/>
      <c r="AI15" s="26">
        <v>9554.9</v>
      </c>
    </row>
    <row r="16" spans="1:35">
      <c r="A16" s="5" t="s">
        <v>17</v>
      </c>
      <c r="B16" s="7">
        <f>+F16</f>
        <v>57842.42</v>
      </c>
      <c r="C16" s="7">
        <f>+F16</f>
        <v>57842.42</v>
      </c>
      <c r="D16" s="7">
        <f>+F16</f>
        <v>57842.42</v>
      </c>
      <c r="E16" s="6"/>
      <c r="F16" s="69">
        <v>57842.42</v>
      </c>
      <c r="H16" s="25" t="s">
        <v>5</v>
      </c>
      <c r="I16" s="21"/>
      <c r="J16" s="7">
        <f>+J14+J15-I14-I15</f>
        <v>-28810.010000000242</v>
      </c>
      <c r="K16" s="5"/>
      <c r="L16" s="5" t="s">
        <v>17</v>
      </c>
      <c r="M16" s="7">
        <f>+Q16</f>
        <v>488.24</v>
      </c>
      <c r="N16" s="7">
        <f>+Q16</f>
        <v>488.24</v>
      </c>
      <c r="O16" s="7">
        <f>+Q16</f>
        <v>488.24</v>
      </c>
      <c r="P16" s="7"/>
      <c r="Q16" s="71">
        <v>488.24</v>
      </c>
      <c r="R16" s="25" t="s">
        <v>5</v>
      </c>
      <c r="AA16" s="5" t="s">
        <v>17</v>
      </c>
      <c r="AB16" s="7">
        <f>+AF16</f>
        <v>57354.18</v>
      </c>
      <c r="AC16" s="7">
        <f>+AF16</f>
        <v>57354.18</v>
      </c>
      <c r="AD16" s="7">
        <f>+AF16</f>
        <v>57354.18</v>
      </c>
      <c r="AE16" s="6"/>
      <c r="AF16" s="7">
        <f t="shared" si="0"/>
        <v>57354.18</v>
      </c>
      <c r="AG16" s="25" t="s">
        <v>5</v>
      </c>
      <c r="AI16" s="26">
        <v>-5350041.1500000004</v>
      </c>
    </row>
    <row r="17" spans="1:35">
      <c r="A17" s="11" t="s">
        <v>74</v>
      </c>
      <c r="B17" s="7">
        <f>+F17</f>
        <v>15000</v>
      </c>
      <c r="C17" s="7">
        <f>+F17</f>
        <v>15000</v>
      </c>
      <c r="D17" s="7">
        <f>+F17</f>
        <v>15000</v>
      </c>
      <c r="E17" s="6"/>
      <c r="F17" s="69">
        <f>(60000/12)*3</f>
        <v>15000</v>
      </c>
      <c r="G17" s="15"/>
      <c r="H17" s="31" t="s">
        <v>75</v>
      </c>
      <c r="I17" s="5"/>
      <c r="J17" s="7"/>
      <c r="K17" s="21"/>
      <c r="L17" s="5" t="str">
        <f>+A17</f>
        <v>SYSTEM AIRCRAFT AND CLUB DUES</v>
      </c>
      <c r="M17" s="7">
        <f>+Q17</f>
        <v>0</v>
      </c>
      <c r="N17" s="7">
        <f>+Q17</f>
        <v>0</v>
      </c>
      <c r="O17" s="7">
        <f>+Q17</f>
        <v>0</v>
      </c>
      <c r="P17" s="7"/>
      <c r="Q17" s="7">
        <v>0</v>
      </c>
      <c r="R17" s="25" t="s">
        <v>3</v>
      </c>
      <c r="AA17" s="11" t="s">
        <v>74</v>
      </c>
      <c r="AB17" s="7">
        <f>+AF17</f>
        <v>15000</v>
      </c>
      <c r="AC17" s="7">
        <f>+AF17</f>
        <v>15000</v>
      </c>
      <c r="AD17" s="7">
        <f>+AF17</f>
        <v>15000</v>
      </c>
      <c r="AE17" s="6"/>
      <c r="AF17" s="7">
        <f t="shared" si="0"/>
        <v>15000</v>
      </c>
      <c r="AG17" s="25" t="s">
        <v>3</v>
      </c>
      <c r="AI17" s="26">
        <v>50126.73</v>
      </c>
    </row>
    <row r="18" spans="1:35">
      <c r="A18" s="5" t="s">
        <v>50</v>
      </c>
      <c r="B18" s="7">
        <f>+F18</f>
        <v>616.36</v>
      </c>
      <c r="C18" s="7">
        <f>+F18</f>
        <v>616.36</v>
      </c>
      <c r="D18" s="7">
        <f>+F18</f>
        <v>616.36</v>
      </c>
      <c r="E18" s="6"/>
      <c r="F18" s="69">
        <v>616.36</v>
      </c>
      <c r="G18" s="15"/>
      <c r="H18" s="25" t="s">
        <v>0</v>
      </c>
      <c r="I18" s="21" t="e">
        <f>SUM(#REF!)</f>
        <v>#REF!</v>
      </c>
      <c r="J18" s="21"/>
      <c r="K18" s="5"/>
      <c r="L18" s="5" t="s">
        <v>50</v>
      </c>
      <c r="M18" s="7">
        <f>+Q18</f>
        <v>616.36</v>
      </c>
      <c r="N18" s="7">
        <f>+Q18</f>
        <v>616.36</v>
      </c>
      <c r="O18" s="7">
        <f>+Q18</f>
        <v>616.36</v>
      </c>
      <c r="P18" s="7"/>
      <c r="Q18" s="7">
        <f>+F18</f>
        <v>616.36</v>
      </c>
      <c r="R18" s="25" t="s">
        <v>0</v>
      </c>
      <c r="AA18" s="5" t="s">
        <v>50</v>
      </c>
      <c r="AB18" s="7">
        <f>+AF18</f>
        <v>0</v>
      </c>
      <c r="AC18" s="7">
        <f>+AF18</f>
        <v>0</v>
      </c>
      <c r="AD18" s="7">
        <f>+AF18</f>
        <v>0</v>
      </c>
      <c r="AE18" s="6"/>
      <c r="AF18" s="7">
        <f t="shared" si="0"/>
        <v>0</v>
      </c>
      <c r="AG18" s="25" t="s">
        <v>0</v>
      </c>
      <c r="AI18" s="26">
        <v>7212816.3499999996</v>
      </c>
    </row>
    <row r="19" spans="1:35">
      <c r="A19" s="5" t="s">
        <v>92</v>
      </c>
      <c r="B19" s="13">
        <f>+F19</f>
        <v>183005.25</v>
      </c>
      <c r="C19" s="13">
        <f>+F19</f>
        <v>183005.25</v>
      </c>
      <c r="D19" s="13">
        <f>+F19</f>
        <v>183005.25</v>
      </c>
      <c r="E19" s="6"/>
      <c r="F19" s="70">
        <f>(732021/12)*3</f>
        <v>183005.25</v>
      </c>
      <c r="G19" s="15"/>
      <c r="H19" s="25" t="s">
        <v>3</v>
      </c>
      <c r="I19" s="5"/>
      <c r="J19" s="5"/>
      <c r="K19" s="5"/>
      <c r="L19" s="5" t="s">
        <v>18</v>
      </c>
      <c r="M19" s="13">
        <f>+Q19</f>
        <v>183005.25</v>
      </c>
      <c r="N19" s="13">
        <f>+Q19</f>
        <v>183005.25</v>
      </c>
      <c r="O19" s="13">
        <f>+Q19</f>
        <v>183005.25</v>
      </c>
      <c r="P19" s="7"/>
      <c r="Q19" s="13">
        <f>+F19</f>
        <v>183005.25</v>
      </c>
      <c r="R19" s="25" t="s">
        <v>3</v>
      </c>
      <c r="AA19" s="5" t="s">
        <v>92</v>
      </c>
      <c r="AB19" s="13">
        <f>+AF19</f>
        <v>0</v>
      </c>
      <c r="AC19" s="13">
        <f>+AF19</f>
        <v>0</v>
      </c>
      <c r="AD19" s="13">
        <f>+AF19</f>
        <v>0</v>
      </c>
      <c r="AE19" s="6"/>
      <c r="AF19" s="13">
        <f t="shared" si="0"/>
        <v>0</v>
      </c>
      <c r="AG19" s="25" t="s">
        <v>3</v>
      </c>
      <c r="AI19" s="22">
        <f>SUM(AI14:AI18)</f>
        <v>1956327.5499999998</v>
      </c>
    </row>
    <row r="20" spans="1:35">
      <c r="A20" s="5" t="s">
        <v>19</v>
      </c>
      <c r="B20" s="7">
        <f>SUM(B14:B19)</f>
        <v>780800.15749999997</v>
      </c>
      <c r="C20" s="7">
        <f>SUM(C14:C19)</f>
        <v>780800.15749999997</v>
      </c>
      <c r="D20" s="7">
        <f>SUM(D14:D19)</f>
        <v>780800.15749999997</v>
      </c>
      <c r="E20" s="6"/>
      <c r="F20" s="7">
        <f>SUM(F13:F19)</f>
        <v>788002.65</v>
      </c>
      <c r="H20" s="35">
        <f>+F20+F28</f>
        <v>-1796733.1800000002</v>
      </c>
      <c r="I20" s="5"/>
      <c r="J20" s="5"/>
      <c r="K20" s="5"/>
      <c r="L20" s="5" t="s">
        <v>19</v>
      </c>
      <c r="M20" s="7">
        <f>SUM(M14:M19)</f>
        <v>184109.85</v>
      </c>
      <c r="N20" s="7">
        <f>SUM(N14:N19)</f>
        <v>184109.85</v>
      </c>
      <c r="O20" s="7">
        <f>SUM(O14:O19)</f>
        <v>184109.85</v>
      </c>
      <c r="P20" s="7"/>
      <c r="Q20" s="7">
        <f>SUM(Q13:Q19)</f>
        <v>184109.85</v>
      </c>
      <c r="R20" s="35">
        <f>+Q20+Q28</f>
        <v>-1950637.9699999997</v>
      </c>
      <c r="S20" s="35"/>
      <c r="AA20" s="5" t="s">
        <v>19</v>
      </c>
      <c r="AB20" s="7">
        <f>SUM(AB14:AB19)</f>
        <v>596690.3075</v>
      </c>
      <c r="AC20" s="7">
        <f>SUM(AC14:AC19)</f>
        <v>596690.3075</v>
      </c>
      <c r="AD20" s="7">
        <f>SUM(AD14:AD19)</f>
        <v>596690.3075</v>
      </c>
      <c r="AE20" s="6"/>
      <c r="AF20" s="7">
        <f>SUM(AF13:AF19)</f>
        <v>603892.80000000005</v>
      </c>
      <c r="AG20" s="35">
        <f>+AF20+AF28</f>
        <v>153904.79000000004</v>
      </c>
    </row>
    <row r="21" spans="1:35">
      <c r="A21" s="5"/>
      <c r="B21" s="6"/>
      <c r="C21" s="6"/>
      <c r="D21" s="6"/>
      <c r="E21" s="6"/>
      <c r="H21" s="80">
        <f>143608.02-1940341.2</f>
        <v>-1796733.18</v>
      </c>
      <c r="I21" s="5"/>
      <c r="J21" s="21"/>
      <c r="K21" s="5"/>
      <c r="L21" s="5"/>
      <c r="M21" s="7"/>
      <c r="N21" s="7"/>
      <c r="O21" s="7"/>
      <c r="P21" s="7"/>
      <c r="Q21" s="7"/>
      <c r="R21" s="82">
        <f>184109.85-2134747.82</f>
        <v>-1950637.9699999997</v>
      </c>
      <c r="AA21" s="5"/>
      <c r="AB21" s="6"/>
      <c r="AC21" s="6"/>
      <c r="AD21" s="6"/>
      <c r="AE21" s="6"/>
      <c r="AF21" s="7"/>
      <c r="AG21" s="57">
        <f>-677161.35+412527.55</f>
        <v>-264633.8</v>
      </c>
    </row>
    <row r="22" spans="1:35">
      <c r="A22" s="16" t="s">
        <v>20</v>
      </c>
      <c r="B22" s="6"/>
      <c r="C22" s="6"/>
      <c r="D22" s="6"/>
      <c r="E22" s="6"/>
      <c r="H22" s="35">
        <f>H21-H20</f>
        <v>0</v>
      </c>
      <c r="I22" s="5"/>
      <c r="J22" s="5"/>
      <c r="K22" s="5"/>
      <c r="L22" s="16" t="s">
        <v>20</v>
      </c>
      <c r="M22" s="7"/>
      <c r="N22" s="7"/>
      <c r="O22" s="7"/>
      <c r="P22" s="7"/>
      <c r="Q22" s="7"/>
      <c r="R22" s="35">
        <f>R20-R21</f>
        <v>0</v>
      </c>
      <c r="AA22" s="16" t="s">
        <v>20</v>
      </c>
      <c r="AB22" s="6"/>
      <c r="AC22" s="6"/>
      <c r="AD22" s="6"/>
      <c r="AE22" s="6"/>
      <c r="AF22" s="7"/>
      <c r="AG22" s="35">
        <f>AG20-AG21</f>
        <v>418538.59</v>
      </c>
    </row>
    <row r="23" spans="1:35">
      <c r="A23" s="5" t="s">
        <v>21</v>
      </c>
      <c r="B23" s="7">
        <f>+F23</f>
        <v>-337132</v>
      </c>
      <c r="C23" s="7">
        <f>+F23</f>
        <v>-337132</v>
      </c>
      <c r="D23" s="7">
        <f>+F23</f>
        <v>-337132</v>
      </c>
      <c r="E23" s="6"/>
      <c r="F23" s="69">
        <f>ROUND((-1348526/12*3),0)</f>
        <v>-337132</v>
      </c>
      <c r="G23" s="36"/>
      <c r="H23" s="37" t="s">
        <v>103</v>
      </c>
      <c r="I23" s="21" t="e">
        <f>SUM(#REF!)</f>
        <v>#REF!</v>
      </c>
      <c r="J23" s="21"/>
      <c r="K23" s="5"/>
      <c r="L23" s="5" t="s">
        <v>21</v>
      </c>
      <c r="M23" s="7">
        <f>+Q23</f>
        <v>0</v>
      </c>
      <c r="N23" s="7">
        <f>+Q23</f>
        <v>0</v>
      </c>
      <c r="O23" s="7">
        <f>+Q23</f>
        <v>0</v>
      </c>
      <c r="P23" s="7"/>
      <c r="Q23" s="36">
        <v>0</v>
      </c>
      <c r="R23" s="37" t="s">
        <v>6</v>
      </c>
      <c r="AA23" s="5" t="s">
        <v>21</v>
      </c>
      <c r="AB23" s="7">
        <f>+AF23</f>
        <v>-337132</v>
      </c>
      <c r="AC23" s="7">
        <f>+AF23</f>
        <v>-337132</v>
      </c>
      <c r="AD23" s="7">
        <f>+AF23</f>
        <v>-337132</v>
      </c>
      <c r="AE23" s="6"/>
      <c r="AF23" s="7">
        <f t="shared" ref="AF23:AF27" si="1">+F23-Q23</f>
        <v>-337132</v>
      </c>
      <c r="AG23" s="37" t="s">
        <v>6</v>
      </c>
    </row>
    <row r="24" spans="1:35">
      <c r="A24" s="5" t="s">
        <v>22</v>
      </c>
      <c r="B24" s="7">
        <f>+F24</f>
        <v>-2134747.8199999998</v>
      </c>
      <c r="C24" s="7">
        <f>+F24</f>
        <v>-2134747.8199999998</v>
      </c>
      <c r="D24" s="7">
        <f>+F24</f>
        <v>-2134747.8199999998</v>
      </c>
      <c r="E24" s="7"/>
      <c r="F24" s="69">
        <v>-2134747.8199999998</v>
      </c>
      <c r="G24" s="36"/>
      <c r="H24" s="37" t="s">
        <v>93</v>
      </c>
      <c r="I24" s="21" t="e">
        <f>SUM(#REF!)</f>
        <v>#REF!</v>
      </c>
      <c r="J24" s="21"/>
      <c r="K24" s="21"/>
      <c r="L24" s="5" t="s">
        <v>22</v>
      </c>
      <c r="M24" s="7">
        <f>+Q24</f>
        <v>-2134747.8199999998</v>
      </c>
      <c r="N24" s="7">
        <f>+Q24</f>
        <v>-2134747.8199999998</v>
      </c>
      <c r="O24" s="7">
        <f>+Q24</f>
        <v>-2134747.8199999998</v>
      </c>
      <c r="P24" s="7"/>
      <c r="Q24" s="7">
        <f>+F24</f>
        <v>-2134747.8199999998</v>
      </c>
      <c r="R24" s="37" t="s">
        <v>55</v>
      </c>
      <c r="AA24" s="5" t="s">
        <v>22</v>
      </c>
      <c r="AB24" s="7">
        <f>+AF24</f>
        <v>0</v>
      </c>
      <c r="AC24" s="7">
        <f>+AF24</f>
        <v>0</v>
      </c>
      <c r="AD24" s="7">
        <f>+AF24</f>
        <v>0</v>
      </c>
      <c r="AE24" s="7"/>
      <c r="AF24" s="7">
        <f>+F24-Q24</f>
        <v>0</v>
      </c>
      <c r="AG24" s="37" t="s">
        <v>55</v>
      </c>
    </row>
    <row r="25" spans="1:35">
      <c r="A25" s="5" t="s">
        <v>23</v>
      </c>
      <c r="B25" s="7">
        <f>+F25</f>
        <v>-112856.01000000001</v>
      </c>
      <c r="C25" s="7">
        <f>+F25</f>
        <v>-112856.01000000001</v>
      </c>
      <c r="D25" s="7">
        <f>+F25</f>
        <v>-112856.01000000001</v>
      </c>
      <c r="E25" s="6"/>
      <c r="F25" s="69">
        <f>(-ROUND((1070000/12*3),0)+1)+154642.99</f>
        <v>-112856.01000000001</v>
      </c>
      <c r="G25" s="15"/>
      <c r="H25" s="38" t="s">
        <v>98</v>
      </c>
      <c r="I25" s="21" t="e">
        <f>SUM(#REF!)</f>
        <v>#REF!</v>
      </c>
      <c r="J25" s="21"/>
      <c r="K25" s="5"/>
      <c r="L25" s="5" t="s">
        <v>23</v>
      </c>
      <c r="M25" s="7">
        <f>+Q25</f>
        <v>0</v>
      </c>
      <c r="N25" s="7">
        <f>+Q25</f>
        <v>0</v>
      </c>
      <c r="O25" s="7">
        <f>+Q25</f>
        <v>0</v>
      </c>
      <c r="P25" s="7"/>
      <c r="Q25" s="15">
        <v>0</v>
      </c>
      <c r="R25" s="38">
        <v>92600211</v>
      </c>
      <c r="AA25" s="5" t="s">
        <v>23</v>
      </c>
      <c r="AB25" s="7">
        <f>+AF25</f>
        <v>-112856.01000000001</v>
      </c>
      <c r="AC25" s="7">
        <f>+AF25</f>
        <v>-112856.01000000001</v>
      </c>
      <c r="AD25" s="7">
        <f>+AF25</f>
        <v>-112856.01000000001</v>
      </c>
      <c r="AE25" s="6"/>
      <c r="AF25" s="7">
        <f t="shared" si="1"/>
        <v>-112856.01000000001</v>
      </c>
      <c r="AG25" s="38">
        <v>92600211</v>
      </c>
    </row>
    <row r="26" spans="1:35">
      <c r="A26" s="5" t="s">
        <v>27</v>
      </c>
      <c r="B26" s="7">
        <v>0</v>
      </c>
      <c r="C26" s="15">
        <v>0</v>
      </c>
      <c r="D26" s="7">
        <v>0</v>
      </c>
      <c r="E26" s="6"/>
      <c r="F26" s="7">
        <v>0</v>
      </c>
      <c r="G26" s="15"/>
      <c r="H26" s="31" t="s">
        <v>76</v>
      </c>
      <c r="I26" s="21" t="e">
        <f>SUM(#REF!)</f>
        <v>#REF!</v>
      </c>
      <c r="J26" s="21"/>
      <c r="K26" s="5"/>
      <c r="L26" s="5" t="s">
        <v>27</v>
      </c>
      <c r="M26" s="7">
        <v>0</v>
      </c>
      <c r="N26" s="15">
        <v>0</v>
      </c>
      <c r="O26" s="7">
        <v>0</v>
      </c>
      <c r="P26" s="7"/>
      <c r="Q26" s="7">
        <f>+F26</f>
        <v>0</v>
      </c>
      <c r="R26" s="38">
        <v>41900012</v>
      </c>
      <c r="AA26" s="5" t="s">
        <v>27</v>
      </c>
      <c r="AB26" s="7">
        <v>0</v>
      </c>
      <c r="AC26" s="15">
        <v>0</v>
      </c>
      <c r="AD26" s="7">
        <v>0</v>
      </c>
      <c r="AE26" s="6"/>
      <c r="AF26" s="7">
        <f t="shared" si="1"/>
        <v>0</v>
      </c>
      <c r="AG26" s="38">
        <v>41900012</v>
      </c>
    </row>
    <row r="27" spans="1:35">
      <c r="A27" s="5" t="s">
        <v>24</v>
      </c>
      <c r="B27" s="13">
        <f>+F27</f>
        <v>0</v>
      </c>
      <c r="C27" s="13">
        <v>0</v>
      </c>
      <c r="D27" s="13">
        <v>0</v>
      </c>
      <c r="E27" s="6"/>
      <c r="F27" s="70">
        <f>-ROUND((((0)/12)*12),2)</f>
        <v>0</v>
      </c>
      <c r="G27" s="15"/>
      <c r="H27" s="25" t="s">
        <v>3</v>
      </c>
      <c r="I27" s="5"/>
      <c r="J27" s="5"/>
      <c r="K27" s="5"/>
      <c r="L27" s="5" t="s">
        <v>24</v>
      </c>
      <c r="M27" s="13">
        <f>+Q27</f>
        <v>0</v>
      </c>
      <c r="N27" s="13">
        <v>0</v>
      </c>
      <c r="O27" s="13">
        <v>0</v>
      </c>
      <c r="P27" s="7"/>
      <c r="Q27" s="24">
        <v>0</v>
      </c>
      <c r="R27" s="25" t="s">
        <v>3</v>
      </c>
      <c r="AA27" s="5" t="s">
        <v>24</v>
      </c>
      <c r="AB27" s="13">
        <f>+AF27</f>
        <v>0</v>
      </c>
      <c r="AC27" s="13">
        <v>0</v>
      </c>
      <c r="AD27" s="13">
        <v>0</v>
      </c>
      <c r="AE27" s="6"/>
      <c r="AF27" s="13">
        <f t="shared" si="1"/>
        <v>0</v>
      </c>
      <c r="AG27" s="25" t="s">
        <v>3</v>
      </c>
    </row>
    <row r="28" spans="1:35">
      <c r="A28" s="5" t="s">
        <v>19</v>
      </c>
      <c r="B28" s="7">
        <f>SUM(B23:B27)</f>
        <v>-2584735.83</v>
      </c>
      <c r="C28" s="7">
        <f>SUM(C23:C27)</f>
        <v>-2584735.83</v>
      </c>
      <c r="D28" s="7">
        <f>SUM(D23:D27)</f>
        <v>-2584735.83</v>
      </c>
      <c r="E28" s="6"/>
      <c r="F28" s="7">
        <f>SUM(F23:F27)</f>
        <v>-2584735.83</v>
      </c>
      <c r="H28" s="35"/>
      <c r="I28" s="5"/>
      <c r="J28" s="49"/>
      <c r="K28" s="33"/>
      <c r="L28" s="5" t="s">
        <v>19</v>
      </c>
      <c r="M28" s="7">
        <f>SUM(M23:M27)</f>
        <v>-2134747.8199999998</v>
      </c>
      <c r="N28" s="7">
        <f>SUM(N23:N27)</f>
        <v>-2134747.8199999998</v>
      </c>
      <c r="O28" s="7">
        <f>SUM(O23:O27)</f>
        <v>-2134747.8199999998</v>
      </c>
      <c r="P28" s="7"/>
      <c r="Q28" s="7">
        <f>SUM(Q23:Q27)</f>
        <v>-2134747.8199999998</v>
      </c>
      <c r="R28" s="35"/>
      <c r="AA28" s="5" t="s">
        <v>19</v>
      </c>
      <c r="AB28" s="7">
        <f>SUM(AB23:AB27)</f>
        <v>-449988.01</v>
      </c>
      <c r="AC28" s="7">
        <f>SUM(AC23:AC27)</f>
        <v>-449988.01</v>
      </c>
      <c r="AD28" s="7">
        <f>SUM(AD23:AD27)</f>
        <v>-449988.01</v>
      </c>
      <c r="AE28" s="6"/>
      <c r="AF28" s="7">
        <f>SUM(AF23:AF27)</f>
        <v>-449988.01</v>
      </c>
      <c r="AG28" s="35"/>
    </row>
    <row r="29" spans="1:35">
      <c r="A29" s="5"/>
      <c r="B29" s="7"/>
      <c r="C29" s="7"/>
      <c r="D29" s="7"/>
      <c r="E29" s="6"/>
      <c r="I29" s="5"/>
      <c r="J29" s="7"/>
      <c r="K29" s="7"/>
      <c r="L29" s="5"/>
      <c r="M29" s="7"/>
      <c r="N29" s="7"/>
      <c r="O29" s="7"/>
      <c r="P29" s="7"/>
      <c r="Q29" s="7"/>
      <c r="AA29" s="5"/>
      <c r="AB29" s="7"/>
      <c r="AC29" s="7"/>
      <c r="AD29" s="7"/>
      <c r="AE29" s="6"/>
      <c r="AF29" s="7"/>
    </row>
    <row r="30" spans="1:35">
      <c r="A30" s="16" t="s">
        <v>36</v>
      </c>
      <c r="B30" s="15"/>
      <c r="C30" s="6"/>
      <c r="D30" s="6"/>
      <c r="E30" s="6"/>
      <c r="I30" s="5"/>
      <c r="J30" s="7"/>
      <c r="K30" s="7"/>
      <c r="L30" s="16" t="s">
        <v>36</v>
      </c>
      <c r="M30" s="7"/>
      <c r="N30" s="7"/>
      <c r="O30" s="7"/>
      <c r="P30" s="7"/>
      <c r="Q30" s="7"/>
      <c r="AA30" s="16" t="s">
        <v>36</v>
      </c>
      <c r="AB30" s="15"/>
      <c r="AC30" s="6"/>
      <c r="AD30" s="6"/>
      <c r="AE30" s="6"/>
      <c r="AF30" s="7"/>
    </row>
    <row r="31" spans="1:35">
      <c r="A31" s="5" t="s">
        <v>48</v>
      </c>
      <c r="B31" s="77">
        <f>-61608065.82-336062.37+31412489.13</f>
        <v>-30531639.059999999</v>
      </c>
      <c r="C31" s="7">
        <f>+B31</f>
        <v>-30531639.059999999</v>
      </c>
      <c r="D31" s="7">
        <f>+B31</f>
        <v>-30531639.059999999</v>
      </c>
      <c r="E31" s="50"/>
      <c r="F31" s="78">
        <v>-61608065.82</v>
      </c>
      <c r="H31" s="25" t="s">
        <v>4</v>
      </c>
      <c r="I31" s="7"/>
      <c r="J31" s="7">
        <v>-19262062.25</v>
      </c>
      <c r="K31" s="7"/>
      <c r="L31" s="5" t="s">
        <v>48</v>
      </c>
      <c r="M31" s="7">
        <f>+Q31</f>
        <v>0</v>
      </c>
      <c r="N31" s="7">
        <f>+Q31</f>
        <v>0</v>
      </c>
      <c r="O31" s="7">
        <f>+Q31</f>
        <v>0</v>
      </c>
      <c r="P31" s="7"/>
      <c r="Q31" s="15">
        <v>0</v>
      </c>
      <c r="R31" s="25" t="s">
        <v>4</v>
      </c>
      <c r="AA31" s="5" t="s">
        <v>48</v>
      </c>
      <c r="AB31" s="15">
        <f>+B31</f>
        <v>-30531639.059999999</v>
      </c>
      <c r="AC31" s="7">
        <f>+AB31</f>
        <v>-30531639.059999999</v>
      </c>
      <c r="AD31" s="7">
        <f>+AB31</f>
        <v>-30531639.059999999</v>
      </c>
      <c r="AE31" s="50"/>
      <c r="AF31" s="7">
        <f t="shared" ref="AF31:AF33" si="2">+F31-Q31</f>
        <v>-61608065.82</v>
      </c>
      <c r="AG31" s="25" t="s">
        <v>4</v>
      </c>
    </row>
    <row r="32" spans="1:35">
      <c r="A32" s="11" t="s">
        <v>2</v>
      </c>
      <c r="B32" s="7"/>
      <c r="C32" s="7"/>
      <c r="D32" s="7"/>
      <c r="H32" s="25" t="s">
        <v>4</v>
      </c>
      <c r="I32" s="5"/>
      <c r="J32" s="7">
        <v>19055045.43</v>
      </c>
      <c r="K32" s="7"/>
      <c r="L32" s="11" t="s">
        <v>2</v>
      </c>
      <c r="M32" s="17">
        <v>0</v>
      </c>
      <c r="N32" s="7"/>
      <c r="O32" s="7">
        <f>+N32</f>
        <v>0</v>
      </c>
      <c r="P32" s="7"/>
      <c r="Q32" s="7"/>
      <c r="R32" s="25" t="s">
        <v>4</v>
      </c>
      <c r="AA32" s="11" t="s">
        <v>2</v>
      </c>
      <c r="AB32" s="7"/>
      <c r="AC32" s="7"/>
      <c r="AD32" s="7"/>
      <c r="AE32" s="18"/>
      <c r="AF32" s="7">
        <f t="shared" si="2"/>
        <v>0</v>
      </c>
      <c r="AG32" s="25" t="s">
        <v>4</v>
      </c>
    </row>
    <row r="33" spans="1:33">
      <c r="A33" s="5" t="s">
        <v>37</v>
      </c>
      <c r="B33" s="13">
        <f>+F33</f>
        <v>2930644.52</v>
      </c>
      <c r="C33" s="13">
        <f>+B33</f>
        <v>2930644.52</v>
      </c>
      <c r="D33" s="13">
        <f>+B33</f>
        <v>2930644.52</v>
      </c>
      <c r="E33" s="6"/>
      <c r="F33" s="79">
        <v>2930644.52</v>
      </c>
      <c r="H33" s="25" t="s">
        <v>7</v>
      </c>
      <c r="I33" s="5"/>
      <c r="J33" s="7">
        <v>179317045.47999999</v>
      </c>
      <c r="K33" s="7"/>
      <c r="L33" s="5" t="s">
        <v>37</v>
      </c>
      <c r="M33" s="13">
        <f>+Q33</f>
        <v>9342.59</v>
      </c>
      <c r="N33" s="13">
        <f>+Q33</f>
        <v>9342.59</v>
      </c>
      <c r="O33" s="13">
        <f>+Q33</f>
        <v>9342.59</v>
      </c>
      <c r="P33" s="7"/>
      <c r="Q33" s="83">
        <v>9342.59</v>
      </c>
      <c r="R33" s="25" t="s">
        <v>7</v>
      </c>
      <c r="AA33" s="5" t="s">
        <v>37</v>
      </c>
      <c r="AB33" s="13">
        <f>+AF33</f>
        <v>2921301.93</v>
      </c>
      <c r="AC33" s="13">
        <f>+AB33</f>
        <v>2921301.93</v>
      </c>
      <c r="AD33" s="13">
        <f>+AB33</f>
        <v>2921301.93</v>
      </c>
      <c r="AE33" s="6"/>
      <c r="AF33" s="13">
        <f t="shared" si="2"/>
        <v>2921301.93</v>
      </c>
      <c r="AG33" s="25" t="s">
        <v>7</v>
      </c>
    </row>
    <row r="34" spans="1:33">
      <c r="A34" s="5" t="s">
        <v>38</v>
      </c>
      <c r="B34" s="7">
        <f>SUM(B31:B33)</f>
        <v>-27600994.539999999</v>
      </c>
      <c r="C34" s="7">
        <f>SUM(C31:C33)</f>
        <v>-27600994.539999999</v>
      </c>
      <c r="D34" s="7">
        <f>SUM(D31:D33)</f>
        <v>-27600994.539999999</v>
      </c>
      <c r="E34" s="6"/>
      <c r="F34" s="7">
        <f>SUM(F31:F33)</f>
        <v>-58677421.299999997</v>
      </c>
      <c r="H34" s="26">
        <v>-61494363.600000001</v>
      </c>
      <c r="I34" s="21"/>
      <c r="J34" s="7">
        <v>-179434309.94</v>
      </c>
      <c r="K34" s="7"/>
      <c r="L34" s="5" t="s">
        <v>38</v>
      </c>
      <c r="M34" s="7">
        <f>SUM(M31:M33)</f>
        <v>9342.59</v>
      </c>
      <c r="N34" s="7">
        <f>SUM(N31:N33)</f>
        <v>9342.59</v>
      </c>
      <c r="O34" s="7">
        <f>SUM(O31:O33)</f>
        <v>9342.59</v>
      </c>
      <c r="P34" s="7"/>
      <c r="Q34" s="7">
        <f>SUM(Q31:Q33)</f>
        <v>9342.59</v>
      </c>
      <c r="R34" s="7"/>
      <c r="AA34" s="5" t="s">
        <v>38</v>
      </c>
      <c r="AB34" s="7">
        <f>SUM(AB31:AB33)</f>
        <v>-27610337.129999999</v>
      </c>
      <c r="AC34" s="7">
        <f>SUM(AC31:AC33)</f>
        <v>-27610337.129999999</v>
      </c>
      <c r="AD34" s="7">
        <f>SUM(AD31:AD33)</f>
        <v>-27610337.129999999</v>
      </c>
      <c r="AE34" s="6"/>
      <c r="AF34" s="7">
        <f>SUM(AF31:AF33)</f>
        <v>-58686763.890000001</v>
      </c>
      <c r="AG34" s="7"/>
    </row>
    <row r="35" spans="1:33">
      <c r="A35" s="7"/>
      <c r="B35" s="13"/>
      <c r="C35" s="19"/>
      <c r="D35" s="19"/>
      <c r="E35" s="6"/>
      <c r="F35" s="13"/>
      <c r="H35" s="26">
        <v>-6282514.3700000001</v>
      </c>
      <c r="I35" s="5"/>
      <c r="J35" s="22">
        <f>SUM(J31:J34)</f>
        <v>-324281.28000000119</v>
      </c>
      <c r="K35" s="7"/>
      <c r="L35" s="7"/>
      <c r="M35" s="13"/>
      <c r="N35" s="13"/>
      <c r="O35" s="13"/>
      <c r="P35" s="7"/>
      <c r="Q35" s="13"/>
      <c r="AA35" s="7"/>
      <c r="AB35" s="13"/>
      <c r="AC35" s="19"/>
      <c r="AD35" s="19"/>
      <c r="AE35" s="6"/>
      <c r="AF35" s="13"/>
    </row>
    <row r="36" spans="1:33">
      <c r="A36" s="20" t="s">
        <v>47</v>
      </c>
      <c r="B36" s="78">
        <f>+B28+B20+B34+B10</f>
        <v>-9403452.442499999</v>
      </c>
      <c r="C36" s="78">
        <f>+C28+C20+C34+C10</f>
        <v>-9403452.442499999</v>
      </c>
      <c r="D36" s="78">
        <f>+D28+D20+D34+D10</f>
        <v>-9403452.442499999</v>
      </c>
      <c r="E36" s="6"/>
      <c r="F36" s="78">
        <f>+F28+F20+F34+F10</f>
        <v>-40472676.709999993</v>
      </c>
      <c r="H36" s="26">
        <v>-1472928.06</v>
      </c>
      <c r="I36" s="5"/>
      <c r="J36" s="7">
        <v>-14485273.960000001</v>
      </c>
      <c r="K36" s="7"/>
      <c r="L36" s="20" t="s">
        <v>47</v>
      </c>
      <c r="M36" s="78">
        <f>+M28+M20+M34+M10</f>
        <v>-354318.64999999967</v>
      </c>
      <c r="N36" s="78">
        <f>+N28+N20+N34+N10</f>
        <v>-354318.64999999967</v>
      </c>
      <c r="O36" s="78">
        <f>+O28+O20+O34+O10</f>
        <v>-354318.64999999967</v>
      </c>
      <c r="P36" s="7"/>
      <c r="Q36" s="7">
        <f>+Q28+Q20+Q34+Q10</f>
        <v>-354318.64999999967</v>
      </c>
      <c r="R36" s="26"/>
      <c r="AA36" s="20" t="s">
        <v>47</v>
      </c>
      <c r="AB36" s="7">
        <f>+AB28+AB20+AB34+AB10</f>
        <v>-9049133.7925000004</v>
      </c>
      <c r="AC36" s="7">
        <f>+AC28+AC20+AC34+AC10</f>
        <v>-9049133.7925000004</v>
      </c>
      <c r="AD36" s="7">
        <f>+AD28+AD20+AD34+AD10</f>
        <v>-9049133.7925000004</v>
      </c>
      <c r="AE36" s="6"/>
      <c r="AF36" s="7">
        <f>+AF28+AF20+AF34+AF10</f>
        <v>-40118358.060000002</v>
      </c>
      <c r="AG36" s="26"/>
    </row>
    <row r="37" spans="1:33">
      <c r="A37" s="21"/>
      <c r="B37" s="7"/>
      <c r="C37" s="7"/>
      <c r="D37" s="7"/>
      <c r="E37" s="6"/>
      <c r="H37" s="35">
        <f>SUM(H34:H36)</f>
        <v>-69249806.030000001</v>
      </c>
      <c r="I37" s="5"/>
      <c r="J37" s="33">
        <v>13029227.32</v>
      </c>
      <c r="K37" s="33"/>
      <c r="L37" s="21"/>
      <c r="M37" s="7"/>
      <c r="N37" s="7"/>
      <c r="O37" s="7"/>
      <c r="P37" s="7"/>
      <c r="Q37" s="7"/>
      <c r="AA37" s="21"/>
      <c r="AB37" s="7"/>
      <c r="AC37" s="7"/>
      <c r="AD37" s="7"/>
      <c r="AE37" s="6"/>
      <c r="AF37" s="7"/>
    </row>
    <row r="38" spans="1:33">
      <c r="A38" s="16" t="s">
        <v>25</v>
      </c>
      <c r="B38" s="7"/>
      <c r="C38" s="7"/>
      <c r="D38" s="7"/>
      <c r="E38" s="6"/>
      <c r="H38" s="35"/>
      <c r="I38" s="5"/>
      <c r="J38" s="7">
        <v>152685273.96000001</v>
      </c>
      <c r="K38" s="7"/>
      <c r="L38" s="16" t="s">
        <v>25</v>
      </c>
      <c r="M38" s="7"/>
      <c r="N38" s="7"/>
      <c r="O38" s="7"/>
      <c r="P38" s="7"/>
      <c r="Q38" s="7"/>
      <c r="R38" s="35"/>
      <c r="AA38" s="16" t="s">
        <v>25</v>
      </c>
      <c r="AB38" s="7"/>
      <c r="AC38" s="7"/>
      <c r="AD38" s="7"/>
      <c r="AE38" s="6"/>
      <c r="AF38" s="7"/>
      <c r="AG38" s="35"/>
    </row>
    <row r="39" spans="1:33">
      <c r="A39" s="5" t="s">
        <v>26</v>
      </c>
      <c r="B39" s="7">
        <v>0</v>
      </c>
      <c r="C39" s="7">
        <v>0</v>
      </c>
      <c r="D39" s="7">
        <v>0</v>
      </c>
      <c r="E39" s="7"/>
      <c r="F39" s="78">
        <f>-E49-SUM(E52:E54)</f>
        <v>802539.39</v>
      </c>
      <c r="H39" s="35">
        <f>-16897161.34+18240590.34+97150762.09-104776705.46</f>
        <v>-6282514.3699999899</v>
      </c>
      <c r="I39" s="5"/>
      <c r="J39" s="7">
        <v>-47571534.670000002</v>
      </c>
      <c r="K39" s="7"/>
      <c r="L39" s="5" t="s">
        <v>26</v>
      </c>
      <c r="M39" s="7">
        <v>0</v>
      </c>
      <c r="N39" s="7">
        <v>0</v>
      </c>
      <c r="O39" s="7">
        <v>0</v>
      </c>
      <c r="P39" s="7"/>
      <c r="Q39" s="78">
        <f>-P49-SUM(P52:P54)</f>
        <v>19174.510000000002</v>
      </c>
      <c r="R39" s="26"/>
      <c r="AA39" s="5" t="s">
        <v>26</v>
      </c>
      <c r="AB39" s="7">
        <v>0</v>
      </c>
      <c r="AC39" s="7">
        <v>0</v>
      </c>
      <c r="AD39" s="7">
        <v>0</v>
      </c>
      <c r="AE39" s="7"/>
      <c r="AF39" s="7">
        <f>-AE49-SUM(AE52:AE54)</f>
        <v>783364.90999999992</v>
      </c>
      <c r="AG39" s="26"/>
    </row>
    <row r="40" spans="1:33">
      <c r="A40" s="5" t="s">
        <v>28</v>
      </c>
      <c r="B40" s="15">
        <v>0</v>
      </c>
      <c r="C40" s="7">
        <f>+B40</f>
        <v>0</v>
      </c>
      <c r="D40" s="7">
        <f>+B40</f>
        <v>0</v>
      </c>
      <c r="E40" s="6"/>
      <c r="F40" s="7">
        <v>0</v>
      </c>
      <c r="H40" s="26">
        <f>-18163715.06+7302667.87+18163715.06-12756030.4+1009593.91-3763910.11-2397890.18+3752825.14</f>
        <v>-6852743.7699999977</v>
      </c>
      <c r="I40" s="5"/>
      <c r="J40" s="7">
        <v>294369.31</v>
      </c>
      <c r="K40" s="7"/>
      <c r="L40" s="5" t="s">
        <v>28</v>
      </c>
      <c r="M40" s="7">
        <f>+B40</f>
        <v>0</v>
      </c>
      <c r="N40" s="7">
        <f>+M40</f>
        <v>0</v>
      </c>
      <c r="O40" s="7">
        <f>+M40</f>
        <v>0</v>
      </c>
      <c r="P40" s="7"/>
      <c r="Q40" s="7">
        <v>0</v>
      </c>
      <c r="AA40" s="5" t="s">
        <v>28</v>
      </c>
      <c r="AB40" s="7">
        <v>0</v>
      </c>
      <c r="AC40" s="7">
        <f>+AB40</f>
        <v>0</v>
      </c>
      <c r="AD40" s="7">
        <f>+AB40</f>
        <v>0</v>
      </c>
      <c r="AE40" s="6"/>
      <c r="AF40" s="7">
        <f t="shared" ref="AF40:AF41" si="3">+F40-Q40</f>
        <v>0</v>
      </c>
    </row>
    <row r="41" spans="1:33">
      <c r="A41" s="12" t="s">
        <v>37</v>
      </c>
      <c r="B41" s="15">
        <v>0</v>
      </c>
      <c r="C41" s="7">
        <v>0</v>
      </c>
      <c r="D41" s="7">
        <v>0</v>
      </c>
      <c r="E41" s="6"/>
      <c r="F41" s="7">
        <v>0</v>
      </c>
      <c r="I41" s="5"/>
      <c r="J41" s="26">
        <v>-3797330.34</v>
      </c>
      <c r="K41" s="7"/>
      <c r="L41" s="5" t="s">
        <v>29</v>
      </c>
      <c r="M41" s="15">
        <v>0</v>
      </c>
      <c r="N41" s="7">
        <v>0</v>
      </c>
      <c r="O41" s="7">
        <v>0</v>
      </c>
      <c r="P41" s="7"/>
      <c r="Q41" s="7">
        <v>0</v>
      </c>
      <c r="R41" s="25" t="s">
        <v>8</v>
      </c>
      <c r="AA41" s="12" t="s">
        <v>37</v>
      </c>
      <c r="AB41" s="15">
        <v>0</v>
      </c>
      <c r="AC41" s="7">
        <v>0</v>
      </c>
      <c r="AD41" s="7">
        <v>0</v>
      </c>
      <c r="AE41" s="6"/>
      <c r="AF41" s="7">
        <f t="shared" si="3"/>
        <v>0</v>
      </c>
      <c r="AG41" s="25" t="s">
        <v>8</v>
      </c>
    </row>
    <row r="42" spans="1:33">
      <c r="A42" s="5" t="s">
        <v>40</v>
      </c>
      <c r="B42" s="22">
        <f>SUM(B39:B41)</f>
        <v>0</v>
      </c>
      <c r="C42" s="22">
        <f>SUM(C39:C41)</f>
        <v>0</v>
      </c>
      <c r="D42" s="22">
        <f>SUM(D39:D41)</f>
        <v>0</v>
      </c>
      <c r="E42" s="6"/>
      <c r="F42" s="22">
        <f>SUM(F39:F41)</f>
        <v>802539.39</v>
      </c>
      <c r="I42" s="5"/>
      <c r="J42" s="7">
        <v>-694059.64</v>
      </c>
      <c r="K42" s="7"/>
      <c r="L42" s="5" t="s">
        <v>40</v>
      </c>
      <c r="M42" s="22">
        <f>SUM(M39:M41)</f>
        <v>0</v>
      </c>
      <c r="N42" s="22">
        <f>SUM(N39:N41)</f>
        <v>0</v>
      </c>
      <c r="O42" s="22">
        <f>SUM(O39:O41)</f>
        <v>0</v>
      </c>
      <c r="P42" s="7"/>
      <c r="Q42" s="22">
        <f>SUM(Q39:Q41)</f>
        <v>19174.510000000002</v>
      </c>
      <c r="AA42" s="5" t="s">
        <v>40</v>
      </c>
      <c r="AB42" s="22">
        <f>SUM(AB39:AB41)</f>
        <v>0</v>
      </c>
      <c r="AC42" s="22">
        <f>SUM(AC39:AC41)</f>
        <v>0</v>
      </c>
      <c r="AD42" s="22">
        <f>SUM(AD39:AD41)</f>
        <v>0</v>
      </c>
      <c r="AE42" s="6"/>
      <c r="AF42" s="22">
        <f>SUM(AF39:AF41)</f>
        <v>783364.90999999992</v>
      </c>
    </row>
    <row r="43" spans="1:33">
      <c r="A43" s="11" t="s">
        <v>69</v>
      </c>
      <c r="B43" s="7">
        <f>SUM(B36:B41)</f>
        <v>-9403452.442499999</v>
      </c>
      <c r="C43" s="7">
        <f>SUM(C36:C41)</f>
        <v>-9403452.442499999</v>
      </c>
      <c r="D43" s="7">
        <f>SUM(D36:D41)</f>
        <v>-9403452.442499999</v>
      </c>
      <c r="E43" s="6"/>
      <c r="F43" s="7">
        <f>SUM(F39:F41)+F10+F20+F28+F34</f>
        <v>-39670137.32</v>
      </c>
      <c r="H43" s="35"/>
      <c r="I43" s="21"/>
      <c r="J43" s="7">
        <v>4388002.1100000003</v>
      </c>
      <c r="K43" s="7"/>
      <c r="L43" s="5" t="s">
        <v>30</v>
      </c>
      <c r="M43" s="7">
        <f>SUM(M36:M41)</f>
        <v>-354318.64999999967</v>
      </c>
      <c r="N43" s="7">
        <f>SUM(N36:N41)</f>
        <v>-354318.64999999967</v>
      </c>
      <c r="O43" s="7">
        <f>SUM(O36:O41)</f>
        <v>-354318.64999999967</v>
      </c>
      <c r="P43" s="7"/>
      <c r="Q43" s="78">
        <f>SUM(Q39:Q41)+Q10+Q20+Q28+Q34</f>
        <v>-335144.13999999972</v>
      </c>
      <c r="R43" s="35"/>
      <c r="AA43" s="11" t="s">
        <v>69</v>
      </c>
      <c r="AB43" s="7">
        <f>SUM(AB36:AB41)</f>
        <v>-9049133.7925000004</v>
      </c>
      <c r="AC43" s="7">
        <f>SUM(AC36:AC41)</f>
        <v>-9049133.7925000004</v>
      </c>
      <c r="AD43" s="7">
        <f>SUM(AD36:AD41)</f>
        <v>-9049133.7925000004</v>
      </c>
      <c r="AE43" s="6"/>
      <c r="AF43" s="7">
        <f>SUM(AF39:AF41)+AF10+AF20+AF28+AF34</f>
        <v>-39334993.150000006</v>
      </c>
      <c r="AG43" s="35"/>
    </row>
    <row r="44" spans="1:33">
      <c r="A44" s="11" t="s">
        <v>73</v>
      </c>
      <c r="B44" s="23">
        <v>0.94703899999999996</v>
      </c>
      <c r="C44" s="23">
        <v>2.3852000000000002E-2</v>
      </c>
      <c r="D44" s="23">
        <v>1.4784E-2</v>
      </c>
      <c r="E44" s="6"/>
      <c r="H44" s="35"/>
      <c r="I44" s="5"/>
      <c r="J44" s="22">
        <f>SUM(J36:J43)</f>
        <v>103848674.08999999</v>
      </c>
      <c r="K44" s="7"/>
      <c r="L44" s="11" t="s">
        <v>44</v>
      </c>
      <c r="M44" s="53">
        <f>+B44</f>
        <v>0.94703899999999996</v>
      </c>
      <c r="N44" s="53">
        <f>+C44</f>
        <v>2.3852000000000002E-2</v>
      </c>
      <c r="O44" s="53">
        <f>+D44</f>
        <v>1.4784E-2</v>
      </c>
      <c r="P44" s="7"/>
      <c r="Q44" s="7"/>
      <c r="R44" s="35" t="s">
        <v>9</v>
      </c>
      <c r="AA44" s="11" t="s">
        <v>73</v>
      </c>
      <c r="AB44" s="23">
        <v>0.94703899999999996</v>
      </c>
      <c r="AC44" s="23">
        <v>2.3852000000000002E-2</v>
      </c>
      <c r="AD44" s="23">
        <v>1.4784E-2</v>
      </c>
      <c r="AE44" s="6"/>
      <c r="AF44" s="7"/>
      <c r="AG44" s="35" t="s">
        <v>9</v>
      </c>
    </row>
    <row r="45" spans="1:33" ht="18" customHeight="1">
      <c r="A45" s="11" t="s">
        <v>45</v>
      </c>
      <c r="B45" s="78">
        <f>ROUND(+B43*B44,2)</f>
        <v>-8905436.1999999993</v>
      </c>
      <c r="C45" s="78">
        <f>ROUND(+C43*C44,2)</f>
        <v>-224291.15</v>
      </c>
      <c r="D45" s="78">
        <f>ROUND(+D43*D44,2)</f>
        <v>-139020.64000000001</v>
      </c>
      <c r="E45" s="6"/>
      <c r="H45" s="35"/>
      <c r="I45" s="5"/>
      <c r="J45" s="21"/>
      <c r="K45" s="21"/>
      <c r="L45" s="11" t="s">
        <v>45</v>
      </c>
      <c r="M45" s="78">
        <f>+M43*M44</f>
        <v>-335553.57997734967</v>
      </c>
      <c r="N45" s="78">
        <f>+N43*N44</f>
        <v>-8451.2084397999934</v>
      </c>
      <c r="O45" s="78">
        <f>+O43*O44</f>
        <v>-5238.2469215999954</v>
      </c>
      <c r="P45" s="7"/>
      <c r="Q45" s="7"/>
      <c r="R45" s="35"/>
      <c r="AA45" s="11" t="s">
        <v>45</v>
      </c>
      <c r="AB45" s="7">
        <f>ROUND(+AB43*AB44,2)</f>
        <v>-8569882.6199999992</v>
      </c>
      <c r="AC45" s="7">
        <f>ROUND(+AC43*AC44,2)</f>
        <v>-215839.94</v>
      </c>
      <c r="AD45" s="7">
        <f>ROUND(+AD43*AD44,2)</f>
        <v>-133782.39000000001</v>
      </c>
      <c r="AE45" s="6"/>
      <c r="AF45" s="7"/>
    </row>
    <row r="46" spans="1:33">
      <c r="A46" s="12" t="s">
        <v>68</v>
      </c>
      <c r="B46" s="13">
        <v>-5000</v>
      </c>
      <c r="C46" s="13">
        <v>0</v>
      </c>
      <c r="D46" s="13">
        <v>0</v>
      </c>
      <c r="E46" s="6"/>
      <c r="H46" s="25" t="s">
        <v>8</v>
      </c>
      <c r="I46" s="5"/>
      <c r="J46" s="7"/>
      <c r="K46" s="7"/>
      <c r="L46" s="11"/>
      <c r="M46" s="7"/>
      <c r="N46" s="7"/>
      <c r="O46" s="7"/>
      <c r="P46" s="7"/>
      <c r="Q46" s="7"/>
      <c r="R46" s="35"/>
      <c r="AA46" s="12" t="s">
        <v>68</v>
      </c>
      <c r="AB46" s="13">
        <v>-5000</v>
      </c>
      <c r="AC46" s="13">
        <v>0</v>
      </c>
      <c r="AD46" s="13">
        <v>0</v>
      </c>
      <c r="AE46" s="6"/>
      <c r="AF46" s="7"/>
    </row>
    <row r="47" spans="1:33">
      <c r="A47" s="11" t="s">
        <v>70</v>
      </c>
      <c r="B47" s="7">
        <f>+B45+B46</f>
        <v>-8910436.1999999993</v>
      </c>
      <c r="C47" s="7">
        <f>+C45+C46</f>
        <v>-224291.15</v>
      </c>
      <c r="D47" s="7">
        <f>+D45+D46</f>
        <v>-139020.64000000001</v>
      </c>
      <c r="E47" s="6"/>
      <c r="H47" s="35"/>
      <c r="L47" s="11"/>
      <c r="M47" s="7"/>
      <c r="N47" s="7"/>
      <c r="O47" s="7"/>
      <c r="P47" s="7"/>
      <c r="Q47" s="7"/>
      <c r="R47" s="35"/>
      <c r="AA47" s="11" t="s">
        <v>70</v>
      </c>
      <c r="AB47" s="7">
        <f>+AB45+AB46+0.01</f>
        <v>-8574882.6099999994</v>
      </c>
      <c r="AC47" s="7">
        <f>+AC45+AC46</f>
        <v>-215839.94</v>
      </c>
      <c r="AD47" s="7">
        <f>+AD45+AD46</f>
        <v>-133782.39000000001</v>
      </c>
      <c r="AE47" s="6"/>
      <c r="AF47" s="7"/>
    </row>
    <row r="48" spans="1:33">
      <c r="A48" s="12" t="s">
        <v>77</v>
      </c>
      <c r="B48" s="47">
        <v>5.5E-2</v>
      </c>
      <c r="C48" s="47">
        <v>0.05</v>
      </c>
      <c r="D48" s="48">
        <v>5.6603768999999998E-2</v>
      </c>
      <c r="E48" s="23"/>
      <c r="F48" s="13">
        <v>0.35</v>
      </c>
      <c r="G48" s="24"/>
      <c r="H48" s="39" t="s">
        <v>63</v>
      </c>
      <c r="J48" s="26"/>
      <c r="L48" s="12" t="s">
        <v>77</v>
      </c>
      <c r="M48" s="40">
        <v>5.5E-2</v>
      </c>
      <c r="N48" s="40">
        <v>0.05</v>
      </c>
      <c r="O48" s="40">
        <v>5.6603768999999998E-2</v>
      </c>
      <c r="P48" s="13"/>
      <c r="Q48" s="24">
        <v>0.35</v>
      </c>
      <c r="R48" s="39" t="s">
        <v>63</v>
      </c>
      <c r="AA48" s="12" t="s">
        <v>77</v>
      </c>
      <c r="AB48" s="47">
        <v>5.5E-2</v>
      </c>
      <c r="AC48" s="47">
        <v>0.05</v>
      </c>
      <c r="AD48" s="48">
        <v>5.6603768999999998E-2</v>
      </c>
      <c r="AE48" s="23"/>
      <c r="AF48" s="13">
        <v>0.35</v>
      </c>
    </row>
    <row r="49" spans="1:32">
      <c r="A49" s="5" t="s">
        <v>41</v>
      </c>
      <c r="B49" s="78">
        <f>ROUND(+B47*B48,2)</f>
        <v>-490073.99</v>
      </c>
      <c r="C49" s="78">
        <f>ROUND(+C47*C48,2)</f>
        <v>-11214.56</v>
      </c>
      <c r="D49" s="78">
        <f>ROUND(+D47*D48,2)</f>
        <v>-7869.09</v>
      </c>
      <c r="E49" s="78">
        <f>SUM(B49:D49)</f>
        <v>-509157.64</v>
      </c>
      <c r="F49" s="78">
        <f>ROUND(+F43*F48,2)</f>
        <v>-13884548.060000001</v>
      </c>
      <c r="H49" s="35">
        <f t="shared" ref="H49:H57" si="4">+E49+F49</f>
        <v>-14393705.700000001</v>
      </c>
      <c r="I49" s="35"/>
      <c r="J49" s="26"/>
      <c r="L49" s="5" t="s">
        <v>41</v>
      </c>
      <c r="M49" s="84">
        <f>+ROUND(M45*M48,2)</f>
        <v>-18455.45</v>
      </c>
      <c r="N49" s="84">
        <f>+ROUND(N45*N48,2)</f>
        <v>-422.56</v>
      </c>
      <c r="O49" s="84">
        <f>+ROUND(O45*O48,2)</f>
        <v>-296.5</v>
      </c>
      <c r="P49" s="7">
        <f>SUM(M49:O49)</f>
        <v>-19174.510000000002</v>
      </c>
      <c r="Q49" s="78">
        <f>ROUND(+Q43*Q48,3)</f>
        <v>-117300.44899999999</v>
      </c>
      <c r="R49" s="35">
        <f t="shared" ref="R49:R60" si="5">+P49+Q49</f>
        <v>-136474.959</v>
      </c>
      <c r="T49" s="26"/>
      <c r="AA49" s="5" t="s">
        <v>41</v>
      </c>
      <c r="AB49" s="7">
        <f>ROUND(+AB47*AB48,2)-0.01</f>
        <v>-471618.55</v>
      </c>
      <c r="AC49" s="7">
        <f>ROUND(+AC47*AC48,2)-0.01</f>
        <v>-10792.01</v>
      </c>
      <c r="AD49" s="7">
        <f>ROUND(+AD47*AD48,2)-0.01</f>
        <v>-7572.6</v>
      </c>
      <c r="AE49" s="7">
        <f>SUM(AB49:AD49)</f>
        <v>-489983.16</v>
      </c>
      <c r="AF49" s="7">
        <f>ROUND(+AF43*AF48,2)+0.01</f>
        <v>-13767247.59</v>
      </c>
    </row>
    <row r="50" spans="1:32">
      <c r="A50" s="5"/>
      <c r="B50" s="7"/>
      <c r="C50" s="7"/>
      <c r="D50" s="7"/>
      <c r="E50" s="78"/>
      <c r="H50" s="35"/>
      <c r="I50" s="35"/>
      <c r="J50" s="26"/>
      <c r="L50" s="5"/>
      <c r="M50" s="33"/>
      <c r="N50" s="33"/>
      <c r="O50" s="33"/>
      <c r="P50" s="7"/>
      <c r="Q50" s="7"/>
      <c r="R50" s="35"/>
      <c r="T50" s="26"/>
      <c r="AA50" s="5"/>
      <c r="AB50" s="7"/>
      <c r="AC50" s="7"/>
      <c r="AD50" s="7"/>
      <c r="AE50" s="7"/>
      <c r="AF50" s="7"/>
    </row>
    <row r="51" spans="1:32">
      <c r="A51" s="14" t="s">
        <v>42</v>
      </c>
      <c r="B51" s="7"/>
      <c r="C51" s="7"/>
      <c r="D51" s="7"/>
      <c r="E51" s="78"/>
      <c r="H51" s="26">
        <f t="shared" si="4"/>
        <v>0</v>
      </c>
      <c r="L51" s="14" t="s">
        <v>42</v>
      </c>
      <c r="M51" s="7"/>
      <c r="N51" s="7"/>
      <c r="O51" s="7"/>
      <c r="P51" s="7">
        <f t="shared" ref="P51:P57" si="6">SUM(M51:O51)</f>
        <v>0</v>
      </c>
      <c r="Q51" s="7"/>
      <c r="R51" s="26">
        <f t="shared" si="5"/>
        <v>0</v>
      </c>
      <c r="AA51" s="14" t="s">
        <v>42</v>
      </c>
      <c r="AB51" s="7"/>
      <c r="AC51" s="7"/>
      <c r="AD51" s="7"/>
      <c r="AE51" s="7"/>
      <c r="AF51" s="7"/>
    </row>
    <row r="52" spans="1:32">
      <c r="A52" s="12" t="s">
        <v>71</v>
      </c>
      <c r="B52" s="15">
        <v>0</v>
      </c>
      <c r="C52" s="7"/>
      <c r="D52" s="7"/>
      <c r="E52" s="78">
        <f t="shared" ref="E52:E57" si="7">SUM(B52:D52)</f>
        <v>0</v>
      </c>
      <c r="F52" s="15"/>
      <c r="H52" s="35">
        <f t="shared" si="4"/>
        <v>0</v>
      </c>
      <c r="L52" s="11" t="str">
        <f>+A52</f>
        <v>SCHOLARSHIP CREDIT</v>
      </c>
      <c r="M52" s="7">
        <f>+B52</f>
        <v>0</v>
      </c>
      <c r="N52" s="7"/>
      <c r="O52" s="7"/>
      <c r="P52" s="7">
        <f t="shared" si="6"/>
        <v>0</v>
      </c>
      <c r="Q52" s="7"/>
      <c r="R52" s="26">
        <f t="shared" si="5"/>
        <v>0</v>
      </c>
      <c r="AA52" s="12" t="s">
        <v>71</v>
      </c>
      <c r="AB52" s="7">
        <f t="shared" ref="AB52:AB57" si="8">+B52-M52</f>
        <v>0</v>
      </c>
      <c r="AC52" s="7">
        <f t="shared" ref="AC52:AC57" si="9">+C52-N52</f>
        <v>0</v>
      </c>
      <c r="AD52" s="7">
        <f t="shared" ref="AD52:AD57" si="10">+D52-O52</f>
        <v>0</v>
      </c>
      <c r="AE52" s="7">
        <f t="shared" ref="AE52:AE57" si="11">SUM(AB52:AD52)</f>
        <v>0</v>
      </c>
      <c r="AF52" s="15"/>
    </row>
    <row r="53" spans="1:32">
      <c r="A53" s="12" t="s">
        <v>67</v>
      </c>
      <c r="B53" s="7"/>
      <c r="C53" s="7"/>
      <c r="D53" s="7"/>
      <c r="E53" s="78">
        <f t="shared" si="7"/>
        <v>0</v>
      </c>
      <c r="F53" s="78">
        <f>-ROUND((101963/12*3),2)</f>
        <v>-25490.75</v>
      </c>
      <c r="H53" s="35">
        <f>+E53+F53</f>
        <v>-25490.75</v>
      </c>
      <c r="I53" s="25" t="s">
        <v>3</v>
      </c>
      <c r="K53" s="35"/>
      <c r="L53" s="12" t="s">
        <v>67</v>
      </c>
      <c r="M53" s="7"/>
      <c r="N53" s="7"/>
      <c r="O53" s="7"/>
      <c r="P53" s="7">
        <f t="shared" si="6"/>
        <v>0</v>
      </c>
      <c r="Q53" s="7">
        <v>0</v>
      </c>
      <c r="R53" s="35">
        <f>+P53+Q53</f>
        <v>0</v>
      </c>
      <c r="AA53" s="12" t="s">
        <v>67</v>
      </c>
      <c r="AB53" s="7">
        <f t="shared" si="8"/>
        <v>0</v>
      </c>
      <c r="AC53" s="7">
        <f t="shared" si="9"/>
        <v>0</v>
      </c>
      <c r="AD53" s="7">
        <f t="shared" si="10"/>
        <v>0</v>
      </c>
      <c r="AE53" s="7">
        <f t="shared" si="11"/>
        <v>0</v>
      </c>
      <c r="AF53" s="7">
        <f t="shared" ref="AF53:AF57" si="12">+F53-Q53</f>
        <v>-25490.75</v>
      </c>
    </row>
    <row r="54" spans="1:32">
      <c r="A54" s="25" t="s">
        <v>84</v>
      </c>
      <c r="B54" s="26"/>
      <c r="C54" s="26"/>
      <c r="D54" s="81">
        <f>-ROUND((1173527/12*3),2)</f>
        <v>-293381.75</v>
      </c>
      <c r="E54" s="78">
        <f t="shared" si="7"/>
        <v>-293381.75</v>
      </c>
      <c r="F54" s="7">
        <v>0</v>
      </c>
      <c r="H54" s="35">
        <f>+E54+F54</f>
        <v>-293381.75</v>
      </c>
      <c r="L54" s="25" t="s">
        <v>84</v>
      </c>
      <c r="M54" s="7">
        <f>+B54</f>
        <v>0</v>
      </c>
      <c r="P54" s="7">
        <f t="shared" si="6"/>
        <v>0</v>
      </c>
      <c r="R54" s="26">
        <f t="shared" si="5"/>
        <v>0</v>
      </c>
      <c r="AA54" s="25" t="s">
        <v>84</v>
      </c>
      <c r="AB54" s="26">
        <f t="shared" si="8"/>
        <v>0</v>
      </c>
      <c r="AC54" s="26">
        <f t="shared" si="9"/>
        <v>0</v>
      </c>
      <c r="AD54" s="26">
        <f t="shared" si="10"/>
        <v>-293381.75</v>
      </c>
      <c r="AE54" s="7">
        <f t="shared" si="11"/>
        <v>-293381.75</v>
      </c>
      <c r="AF54" s="7">
        <f t="shared" si="12"/>
        <v>0</v>
      </c>
    </row>
    <row r="55" spans="1:32">
      <c r="A55" s="11" t="s">
        <v>95</v>
      </c>
      <c r="B55" s="78">
        <v>27586.62</v>
      </c>
      <c r="C55" s="7"/>
      <c r="D55" s="78">
        <f>-ROUND((D54*0.1),0)</f>
        <v>29338</v>
      </c>
      <c r="E55" s="7">
        <f t="shared" si="7"/>
        <v>56924.619999999995</v>
      </c>
      <c r="F55" s="78">
        <f>-ROUND((F53*0.4),0)+175551.25</f>
        <v>185747.25</v>
      </c>
      <c r="H55" s="35">
        <f>+E55+F55</f>
        <v>242671.87</v>
      </c>
      <c r="K55" s="35"/>
      <c r="L55" s="11" t="s">
        <v>39</v>
      </c>
      <c r="M55" s="7">
        <v>0</v>
      </c>
      <c r="N55" s="7"/>
      <c r="O55" s="7"/>
      <c r="P55" s="7">
        <f t="shared" si="6"/>
        <v>0</v>
      </c>
      <c r="Q55" s="7">
        <v>0</v>
      </c>
      <c r="R55" s="35">
        <f>+P55+Q55</f>
        <v>0</v>
      </c>
      <c r="AA55" s="11" t="s">
        <v>95</v>
      </c>
      <c r="AB55" s="7">
        <f t="shared" si="8"/>
        <v>27586.62</v>
      </c>
      <c r="AC55" s="7">
        <f t="shared" si="9"/>
        <v>0</v>
      </c>
      <c r="AD55" s="7">
        <f t="shared" si="10"/>
        <v>29338</v>
      </c>
      <c r="AE55" s="7">
        <f t="shared" si="11"/>
        <v>56924.619999999995</v>
      </c>
      <c r="AF55" s="7">
        <f t="shared" si="12"/>
        <v>185747.25</v>
      </c>
    </row>
    <row r="56" spans="1:32">
      <c r="A56" s="12" t="s">
        <v>66</v>
      </c>
      <c r="B56" s="7">
        <v>0</v>
      </c>
      <c r="C56" s="7">
        <v>0</v>
      </c>
      <c r="D56" s="7"/>
      <c r="E56" s="7">
        <f t="shared" si="7"/>
        <v>0</v>
      </c>
      <c r="F56" s="7">
        <v>0</v>
      </c>
      <c r="H56" s="35">
        <f>+E56+F56</f>
        <v>0</v>
      </c>
      <c r="K56" s="35"/>
      <c r="L56" s="12" t="s">
        <v>66</v>
      </c>
      <c r="M56" s="7"/>
      <c r="N56" s="7"/>
      <c r="O56" s="7"/>
      <c r="P56" s="7">
        <f t="shared" si="6"/>
        <v>0</v>
      </c>
      <c r="Q56" s="7">
        <v>0</v>
      </c>
      <c r="R56" s="35">
        <f>+P56+Q56</f>
        <v>0</v>
      </c>
      <c r="AA56" s="12" t="s">
        <v>66</v>
      </c>
      <c r="AB56" s="7">
        <f t="shared" si="8"/>
        <v>0</v>
      </c>
      <c r="AC56" s="7">
        <f t="shared" si="9"/>
        <v>0</v>
      </c>
      <c r="AD56" s="7">
        <f t="shared" si="10"/>
        <v>0</v>
      </c>
      <c r="AE56" s="7">
        <f t="shared" si="11"/>
        <v>0</v>
      </c>
      <c r="AF56" s="7">
        <f t="shared" si="12"/>
        <v>0</v>
      </c>
    </row>
    <row r="57" spans="1:32">
      <c r="A57" s="11" t="s">
        <v>46</v>
      </c>
      <c r="B57" s="13">
        <v>-10.87</v>
      </c>
      <c r="C57" s="13">
        <v>0</v>
      </c>
      <c r="D57" s="13">
        <v>0</v>
      </c>
      <c r="E57" s="13">
        <f t="shared" si="7"/>
        <v>-10.87</v>
      </c>
      <c r="F57" s="171">
        <f>-65.34+10779647.39-10779647.39</f>
        <v>-65.339999999850988</v>
      </c>
      <c r="G57" s="41"/>
      <c r="H57" s="41">
        <f t="shared" si="4"/>
        <v>-76.209999999850993</v>
      </c>
      <c r="J57" s="35"/>
      <c r="L57" s="11" t="s">
        <v>46</v>
      </c>
      <c r="M57" s="13">
        <v>0</v>
      </c>
      <c r="N57" s="13">
        <v>0</v>
      </c>
      <c r="O57" s="13">
        <v>0</v>
      </c>
      <c r="P57" s="13">
        <f t="shared" si="6"/>
        <v>0</v>
      </c>
      <c r="Q57" s="13">
        <v>0</v>
      </c>
      <c r="R57" s="41">
        <f t="shared" si="5"/>
        <v>0</v>
      </c>
      <c r="U57" s="26"/>
      <c r="V57" s="26"/>
      <c r="AA57" s="11" t="s">
        <v>46</v>
      </c>
      <c r="AB57" s="13">
        <f t="shared" si="8"/>
        <v>-10.87</v>
      </c>
      <c r="AC57" s="13">
        <f t="shared" si="9"/>
        <v>0</v>
      </c>
      <c r="AD57" s="13">
        <f t="shared" si="10"/>
        <v>0</v>
      </c>
      <c r="AE57" s="13">
        <f t="shared" si="11"/>
        <v>-10.87</v>
      </c>
      <c r="AF57" s="13">
        <f t="shared" si="12"/>
        <v>-65.339999999850988</v>
      </c>
    </row>
    <row r="58" spans="1:32">
      <c r="A58" s="12" t="s">
        <v>51</v>
      </c>
      <c r="B58" s="7">
        <f>SUM(B49:B57)</f>
        <v>-462498.24</v>
      </c>
      <c r="C58" s="7">
        <f>SUM(C49:C57)</f>
        <v>-11214.56</v>
      </c>
      <c r="D58" s="7">
        <f>SUM(D49:D57)</f>
        <v>-271912.84000000003</v>
      </c>
      <c r="E58" s="72">
        <f>SUM(E49:E57)</f>
        <v>-745625.64</v>
      </c>
      <c r="F58" s="72">
        <f>SUM(F49:F57)</f>
        <v>-13724356.9</v>
      </c>
      <c r="G58" s="35"/>
      <c r="H58" s="35">
        <f>ROUND(+E58+F58,2)</f>
        <v>-14469982.539999999</v>
      </c>
      <c r="J58" s="35"/>
      <c r="L58" s="12" t="s">
        <v>51</v>
      </c>
      <c r="M58" s="7">
        <f>SUM(M49:M57)</f>
        <v>-18455.45</v>
      </c>
      <c r="N58" s="7">
        <f>SUM(N49:N57)</f>
        <v>-422.56</v>
      </c>
      <c r="O58" s="7">
        <f>SUM(O49:O57)</f>
        <v>-296.5</v>
      </c>
      <c r="P58" s="7">
        <f>SUM(P49:P57)</f>
        <v>-19174.510000000002</v>
      </c>
      <c r="Q58" s="7">
        <f>SUM(Q49:Q57)</f>
        <v>-117300.44899999999</v>
      </c>
      <c r="R58" s="35">
        <f t="shared" si="5"/>
        <v>-136474.959</v>
      </c>
      <c r="U58" s="26"/>
      <c r="V58" s="26"/>
      <c r="AA58" s="12" t="s">
        <v>51</v>
      </c>
      <c r="AB58" s="7">
        <f>SUM(AB49:AB57)</f>
        <v>-444042.8</v>
      </c>
      <c r="AC58" s="7">
        <f>SUM(AC49:AC57)</f>
        <v>-10792.01</v>
      </c>
      <c r="AD58" s="7">
        <f>SUM(AD49:AD57)</f>
        <v>-271616.34999999998</v>
      </c>
      <c r="AE58" s="7">
        <f>SUM(AE49:AE57)</f>
        <v>-726451.15999999992</v>
      </c>
      <c r="AF58" s="7">
        <f>SUM(AF49:AF57)</f>
        <v>-13607056.43</v>
      </c>
    </row>
    <row r="59" spans="1:32">
      <c r="A59" s="12" t="s">
        <v>96</v>
      </c>
      <c r="B59" s="13">
        <v>0</v>
      </c>
      <c r="C59" s="13">
        <v>0</v>
      </c>
      <c r="D59" s="13">
        <v>0</v>
      </c>
      <c r="E59" s="13">
        <f>SUM(B59:D59)</f>
        <v>0</v>
      </c>
      <c r="F59" s="52">
        <v>0</v>
      </c>
      <c r="G59" s="41"/>
      <c r="H59" s="41">
        <f>+E59+F59</f>
        <v>0</v>
      </c>
      <c r="I59" s="42" t="s">
        <v>52</v>
      </c>
      <c r="J59" s="42" t="s">
        <v>53</v>
      </c>
      <c r="L59" s="11" t="str">
        <f>+A59</f>
        <v>MISCELLANEOUS</v>
      </c>
      <c r="M59" s="24"/>
      <c r="N59" s="24"/>
      <c r="O59" s="24"/>
      <c r="P59" s="13">
        <f>SUM(M59:O59)</f>
        <v>0</v>
      </c>
      <c r="Q59" s="54"/>
      <c r="R59" s="41">
        <f t="shared" si="5"/>
        <v>0</v>
      </c>
      <c r="U59" s="26"/>
      <c r="V59" s="26"/>
      <c r="AA59" s="12" t="s">
        <v>96</v>
      </c>
      <c r="AB59" s="13">
        <f>+B59</f>
        <v>0</v>
      </c>
      <c r="AC59" s="13">
        <v>0</v>
      </c>
      <c r="AD59" s="13">
        <v>0</v>
      </c>
      <c r="AE59" s="13">
        <f>SUM(AB59:AD59)</f>
        <v>0</v>
      </c>
      <c r="AF59" s="52">
        <f>+F59</f>
        <v>0</v>
      </c>
    </row>
    <row r="60" spans="1:32">
      <c r="A60" s="5" t="s">
        <v>54</v>
      </c>
      <c r="B60" s="7">
        <f>+B58+B59</f>
        <v>-462498.24</v>
      </c>
      <c r="C60" s="7">
        <f>+C58+C59</f>
        <v>-11214.56</v>
      </c>
      <c r="D60" s="7">
        <f>+D58+D59</f>
        <v>-271912.84000000003</v>
      </c>
      <c r="E60" s="7">
        <f>+E58+E59</f>
        <v>-745625.64</v>
      </c>
      <c r="F60" s="7">
        <f>+F58+F59</f>
        <v>-13724356.9</v>
      </c>
      <c r="G60" s="35"/>
      <c r="H60" s="35">
        <f>ROUND(+E60+F60,2)</f>
        <v>-14469982.539999999</v>
      </c>
      <c r="I60" s="35">
        <f>SUM('[7]Sch 4A'!$D$41:$D$42)</f>
        <v>-3690335.15</v>
      </c>
      <c r="J60" s="35">
        <f>SUM('[8]Sch 60A'!$F$128,'[8]Sch 60A'!$F$157)</f>
        <v>-3690335.1500000004</v>
      </c>
      <c r="L60" s="5" t="s">
        <v>54</v>
      </c>
      <c r="M60" s="7">
        <f>+M58+M59</f>
        <v>-18455.45</v>
      </c>
      <c r="N60" s="7">
        <f>+N58+N59</f>
        <v>-422.56</v>
      </c>
      <c r="O60" s="7">
        <f>+O58+O59</f>
        <v>-296.5</v>
      </c>
      <c r="P60" s="72">
        <f>+P58+P59</f>
        <v>-19174.510000000002</v>
      </c>
      <c r="Q60" s="72">
        <f>+Q58+Q59</f>
        <v>-117300.44899999999</v>
      </c>
      <c r="R60" s="35">
        <f t="shared" si="5"/>
        <v>-136474.959</v>
      </c>
      <c r="U60" s="26"/>
      <c r="V60" s="26"/>
      <c r="AA60" s="5" t="s">
        <v>54</v>
      </c>
      <c r="AB60" s="7">
        <f>+AB58+AB59</f>
        <v>-444042.8</v>
      </c>
      <c r="AC60" s="7">
        <f>+AC58+AC59</f>
        <v>-10792.01</v>
      </c>
      <c r="AD60" s="7">
        <f>+AD58+AD59</f>
        <v>-271616.34999999998</v>
      </c>
      <c r="AE60" s="7">
        <f>+AE58+AE59</f>
        <v>-726451.15999999992</v>
      </c>
      <c r="AF60" s="7">
        <f>+AF58+AF59</f>
        <v>-13607056.43</v>
      </c>
    </row>
    <row r="61" spans="1:32">
      <c r="A61" s="5"/>
      <c r="B61" s="7"/>
      <c r="C61" s="7"/>
      <c r="D61" s="7"/>
      <c r="E61" s="7"/>
      <c r="H61" s="35"/>
      <c r="I61" s="35"/>
      <c r="L61" s="5"/>
      <c r="M61" s="7"/>
      <c r="N61" s="7"/>
      <c r="O61" s="7"/>
      <c r="P61" s="7"/>
      <c r="Q61" s="7"/>
      <c r="U61" s="26"/>
      <c r="V61" s="26"/>
      <c r="AA61" s="5"/>
      <c r="AB61" s="7"/>
      <c r="AC61" s="7"/>
      <c r="AD61" s="7"/>
      <c r="AE61" s="7"/>
      <c r="AF61" s="7"/>
    </row>
    <row r="62" spans="1:32">
      <c r="A62" s="27"/>
      <c r="B62" s="7"/>
      <c r="C62" s="7"/>
      <c r="D62" s="7"/>
      <c r="E62" s="7"/>
      <c r="H62" s="35"/>
      <c r="L62" s="27"/>
      <c r="M62" s="7"/>
      <c r="N62" s="7"/>
      <c r="O62" s="7"/>
      <c r="P62" s="7"/>
      <c r="Q62" s="7"/>
      <c r="R62" s="35"/>
      <c r="U62" s="26"/>
      <c r="V62" s="26"/>
      <c r="AA62" s="27"/>
      <c r="AB62" s="7"/>
      <c r="AC62" s="7"/>
      <c r="AD62" s="7"/>
      <c r="AE62" s="7"/>
      <c r="AF62" s="7"/>
    </row>
    <row r="63" spans="1:32">
      <c r="A63" s="5" t="s">
        <v>89</v>
      </c>
      <c r="B63" s="15">
        <f>5538366.22-B65-B67</f>
        <v>5538366.2199999997</v>
      </c>
      <c r="C63" s="15">
        <v>0</v>
      </c>
      <c r="D63" s="15">
        <v>0</v>
      </c>
      <c r="E63" s="72">
        <f t="shared" ref="E63:E68" si="13">SUM(B63:D63)</f>
        <v>5538366.2199999997</v>
      </c>
      <c r="F63" s="74">
        <f>31709113.79-F65-F67</f>
        <v>31699458.469999999</v>
      </c>
      <c r="H63" s="26">
        <f>+E63+F63</f>
        <v>37237824.689999998</v>
      </c>
      <c r="I63" s="21">
        <f>SUM('[7]Sch 4A'!$D$43:$D$44)</f>
        <v>37247480.009999998</v>
      </c>
      <c r="J63" s="21">
        <f>SUM('[8]Sch 60A'!$F$130:$F$138,'[8]Sch 60A'!$F$151,'[8]Sch 60A'!$F$153,'[8]Sch 60A'!$F$158)</f>
        <v>37247480.009999998</v>
      </c>
      <c r="K63" s="35"/>
      <c r="L63" s="5" t="s">
        <v>89</v>
      </c>
      <c r="M63" s="74">
        <v>17.96</v>
      </c>
      <c r="N63" s="15">
        <v>0</v>
      </c>
      <c r="O63" s="15">
        <v>0</v>
      </c>
      <c r="P63" s="7">
        <f t="shared" ref="P63:P64" si="14">SUM(M63:O63)</f>
        <v>17.96</v>
      </c>
      <c r="Q63" s="74">
        <v>300.38</v>
      </c>
      <c r="R63" s="26">
        <f>+P63+Q63</f>
        <v>318.33999999999997</v>
      </c>
      <c r="S63" s="35"/>
      <c r="U63" s="26"/>
      <c r="V63" s="26"/>
      <c r="AA63" s="5" t="s">
        <v>89</v>
      </c>
      <c r="AB63" s="15">
        <f t="shared" ref="AB63:AB68" si="15">+B63-M63</f>
        <v>5538348.2599999998</v>
      </c>
      <c r="AC63" s="15">
        <f t="shared" ref="AC63:AC68" si="16">+C63-N63</f>
        <v>0</v>
      </c>
      <c r="AD63" s="15">
        <f t="shared" ref="AD63:AD68" si="17">+D63-O63</f>
        <v>0</v>
      </c>
      <c r="AE63" s="7">
        <f t="shared" ref="AE63:AE68" si="18">SUM(AB63:AD63)</f>
        <v>5538348.2599999998</v>
      </c>
      <c r="AF63" s="15">
        <f t="shared" ref="AF63:AF68" si="19">+F63-Q63</f>
        <v>31699158.09</v>
      </c>
    </row>
    <row r="64" spans="1:32">
      <c r="A64" s="5" t="s">
        <v>88</v>
      </c>
      <c r="B64" s="15">
        <f>-4038894.07-B66-D66-B68</f>
        <v>-4009646.92</v>
      </c>
      <c r="C64" s="15">
        <v>0</v>
      </c>
      <c r="D64" s="15">
        <v>0</v>
      </c>
      <c r="E64" s="72">
        <f t="shared" si="13"/>
        <v>-4009646.92</v>
      </c>
      <c r="F64" s="172">
        <f>-22758866.42-F66-F68+10779647.39</f>
        <v>-11784325.350000001</v>
      </c>
      <c r="H64" s="26">
        <f>+E64+F64</f>
        <v>-15793972.270000001</v>
      </c>
      <c r="I64" s="21">
        <f>SUM('[7]Sch 4A'!$D$45:$D$46)</f>
        <v>-26797760.490000002</v>
      </c>
      <c r="J64" s="21">
        <f>SUM('[8]Sch 60A'!$F$141:$F$148,'[8]Sch 60A'!$F$152,'[8]Sch 60A'!$F$154,'[8]Sch 60A'!$F$159)</f>
        <v>-26797760.490000002</v>
      </c>
      <c r="K64" s="35"/>
      <c r="L64" s="5" t="s">
        <v>88</v>
      </c>
      <c r="M64" s="74">
        <v>-531.79</v>
      </c>
      <c r="N64" s="15">
        <v>0</v>
      </c>
      <c r="O64" s="15">
        <v>0</v>
      </c>
      <c r="P64" s="7">
        <f t="shared" si="14"/>
        <v>-531.79</v>
      </c>
      <c r="Q64" s="74">
        <v>-3390.45</v>
      </c>
      <c r="R64" s="26">
        <f>+P64+Q64</f>
        <v>-3922.24</v>
      </c>
      <c r="U64" s="26"/>
      <c r="V64" s="26"/>
      <c r="AA64" s="5" t="s">
        <v>88</v>
      </c>
      <c r="AB64" s="15">
        <f t="shared" si="15"/>
        <v>-4009115.13</v>
      </c>
      <c r="AC64" s="15">
        <f t="shared" si="16"/>
        <v>0</v>
      </c>
      <c r="AD64" s="15">
        <f t="shared" si="17"/>
        <v>0</v>
      </c>
      <c r="AE64" s="7">
        <f t="shared" si="18"/>
        <v>-4009115.13</v>
      </c>
      <c r="AF64" s="15">
        <f t="shared" si="19"/>
        <v>-11780934.900000002</v>
      </c>
    </row>
    <row r="65" spans="1:33">
      <c r="A65" s="5" t="s">
        <v>100</v>
      </c>
      <c r="B65" s="7"/>
      <c r="C65" s="7"/>
      <c r="D65" s="7"/>
      <c r="E65" s="72">
        <f t="shared" si="13"/>
        <v>0</v>
      </c>
      <c r="F65" s="85">
        <v>9655.32</v>
      </c>
      <c r="G65" s="43"/>
      <c r="H65" s="26">
        <f>+F65+E65</f>
        <v>9655.32</v>
      </c>
      <c r="I65" s="21"/>
      <c r="J65" s="21"/>
      <c r="K65" s="35"/>
      <c r="L65" s="5"/>
      <c r="M65" s="15"/>
      <c r="N65" s="7"/>
      <c r="O65" s="7"/>
      <c r="P65" s="7"/>
      <c r="Q65" s="15"/>
      <c r="R65" s="26"/>
      <c r="V65" s="35"/>
      <c r="AA65" s="5" t="s">
        <v>86</v>
      </c>
      <c r="AB65" s="7">
        <f t="shared" si="15"/>
        <v>0</v>
      </c>
      <c r="AC65" s="7">
        <f t="shared" si="16"/>
        <v>0</v>
      </c>
      <c r="AD65" s="7">
        <f t="shared" si="17"/>
        <v>0</v>
      </c>
      <c r="AE65" s="7">
        <f t="shared" si="18"/>
        <v>0</v>
      </c>
      <c r="AF65" s="7">
        <f t="shared" si="19"/>
        <v>9655.32</v>
      </c>
    </row>
    <row r="66" spans="1:33">
      <c r="A66" s="5" t="s">
        <v>101</v>
      </c>
      <c r="B66" s="7">
        <f>-27586.62</f>
        <v>-27586.62</v>
      </c>
      <c r="C66" s="7"/>
      <c r="D66" s="15">
        <v>-1660.53</v>
      </c>
      <c r="E66" s="85">
        <f t="shared" si="13"/>
        <v>-29247.149999999998</v>
      </c>
      <c r="F66" s="86">
        <f>-175551.25-19342.43</f>
        <v>-194893.68</v>
      </c>
      <c r="H66" s="26">
        <f>+F66+E66</f>
        <v>-224140.83</v>
      </c>
      <c r="I66" s="21"/>
      <c r="J66" s="21"/>
      <c r="K66" s="35"/>
      <c r="L66" s="5"/>
      <c r="M66" s="15"/>
      <c r="N66" s="7"/>
      <c r="O66" s="7"/>
      <c r="P66" s="7"/>
      <c r="Q66" s="15"/>
      <c r="R66" s="26"/>
      <c r="V66" s="35"/>
      <c r="AA66" s="5" t="s">
        <v>87</v>
      </c>
      <c r="AB66" s="7">
        <f t="shared" si="15"/>
        <v>-27586.62</v>
      </c>
      <c r="AC66" s="7">
        <f t="shared" si="16"/>
        <v>0</v>
      </c>
      <c r="AD66" s="15">
        <f t="shared" si="17"/>
        <v>-1660.53</v>
      </c>
      <c r="AE66" s="7">
        <f t="shared" si="18"/>
        <v>-29247.149999999998</v>
      </c>
      <c r="AF66" s="15">
        <f t="shared" si="19"/>
        <v>-194893.68</v>
      </c>
    </row>
    <row r="67" spans="1:33">
      <c r="A67" s="11" t="s">
        <v>90</v>
      </c>
      <c r="B67" s="15">
        <v>0</v>
      </c>
      <c r="C67" s="7"/>
      <c r="D67" s="7"/>
      <c r="E67" s="72">
        <f t="shared" si="13"/>
        <v>0</v>
      </c>
      <c r="F67" s="74">
        <v>0</v>
      </c>
      <c r="H67" s="26">
        <f>+F67+E67</f>
        <v>0</v>
      </c>
      <c r="I67" s="21"/>
      <c r="J67" s="21"/>
      <c r="K67" s="35">
        <f>+J67-I67</f>
        <v>0</v>
      </c>
      <c r="L67" s="11" t="s">
        <v>90</v>
      </c>
      <c r="M67" s="15"/>
      <c r="N67" s="7"/>
      <c r="O67" s="7"/>
      <c r="P67" s="7">
        <f>SUM(M67:O67)</f>
        <v>0</v>
      </c>
      <c r="Q67" s="15"/>
      <c r="R67" s="26"/>
      <c r="V67" s="35"/>
      <c r="AA67" s="11" t="s">
        <v>90</v>
      </c>
      <c r="AB67" s="15">
        <f t="shared" si="15"/>
        <v>0</v>
      </c>
      <c r="AC67" s="7">
        <f t="shared" si="16"/>
        <v>0</v>
      </c>
      <c r="AD67" s="7">
        <f t="shared" si="17"/>
        <v>0</v>
      </c>
      <c r="AE67" s="7">
        <f t="shared" si="18"/>
        <v>0</v>
      </c>
      <c r="AF67" s="15">
        <f t="shared" si="19"/>
        <v>0</v>
      </c>
    </row>
    <row r="68" spans="1:33">
      <c r="A68" s="11" t="s">
        <v>91</v>
      </c>
      <c r="B68" s="15">
        <v>0</v>
      </c>
      <c r="C68" s="15">
        <v>0</v>
      </c>
      <c r="D68" s="15">
        <v>0</v>
      </c>
      <c r="E68" s="72">
        <f t="shared" si="13"/>
        <v>0</v>
      </c>
      <c r="F68" s="172">
        <f>-10779647.39+10779647.39</f>
        <v>0</v>
      </c>
      <c r="G68" s="13"/>
      <c r="H68" s="13">
        <f>+E68+F68</f>
        <v>0</v>
      </c>
      <c r="I68" s="41"/>
      <c r="J68" s="41"/>
      <c r="K68" s="41"/>
      <c r="L68" s="11" t="s">
        <v>91</v>
      </c>
      <c r="M68" s="15"/>
      <c r="N68" s="15">
        <v>0</v>
      </c>
      <c r="O68" s="15">
        <v>0</v>
      </c>
      <c r="P68" s="7">
        <f>SUM(M68:O68)</f>
        <v>0</v>
      </c>
      <c r="Q68" s="15"/>
      <c r="R68" s="7">
        <f>+P68+Q68</f>
        <v>0</v>
      </c>
      <c r="AA68" s="11" t="s">
        <v>91</v>
      </c>
      <c r="AB68" s="15">
        <f t="shared" si="15"/>
        <v>0</v>
      </c>
      <c r="AC68" s="15">
        <f t="shared" si="16"/>
        <v>0</v>
      </c>
      <c r="AD68" s="15">
        <f t="shared" si="17"/>
        <v>0</v>
      </c>
      <c r="AE68" s="7">
        <f t="shared" si="18"/>
        <v>0</v>
      </c>
      <c r="AF68" s="15">
        <f t="shared" si="19"/>
        <v>0</v>
      </c>
    </row>
    <row r="69" spans="1:33" ht="13.5" thickBot="1">
      <c r="A69" s="16" t="s">
        <v>31</v>
      </c>
      <c r="B69" s="30">
        <f t="shared" ref="B69:I69" si="20">SUM(B60:B68)</f>
        <v>1038634.4399999996</v>
      </c>
      <c r="C69" s="30">
        <f t="shared" si="20"/>
        <v>-11214.56</v>
      </c>
      <c r="D69" s="30">
        <f t="shared" si="20"/>
        <v>-273573.37000000005</v>
      </c>
      <c r="E69" s="73">
        <f t="shared" si="20"/>
        <v>753846.51000000013</v>
      </c>
      <c r="F69" s="73">
        <f>SUM(F60:F68)</f>
        <v>6005537.8599999994</v>
      </c>
      <c r="G69" s="28"/>
      <c r="H69" s="28">
        <f t="shared" si="20"/>
        <v>6759384.3699999973</v>
      </c>
      <c r="I69" s="28">
        <f t="shared" si="20"/>
        <v>6759384.3699999973</v>
      </c>
      <c r="J69" s="44">
        <f>SUM(J60:J68)</f>
        <v>6759384.3699999973</v>
      </c>
      <c r="K69" s="35"/>
      <c r="L69" s="5" t="s">
        <v>31</v>
      </c>
      <c r="M69" s="30">
        <f t="shared" ref="M69:R69" si="21">SUM(M60:M68)</f>
        <v>-18969.280000000002</v>
      </c>
      <c r="N69" s="30">
        <f t="shared" si="21"/>
        <v>-422.56</v>
      </c>
      <c r="O69" s="30">
        <f t="shared" si="21"/>
        <v>-296.5</v>
      </c>
      <c r="P69" s="73">
        <f t="shared" si="21"/>
        <v>-19688.340000000004</v>
      </c>
      <c r="Q69" s="73">
        <f t="shared" si="21"/>
        <v>-120390.51899999999</v>
      </c>
      <c r="R69" s="30">
        <f t="shared" si="21"/>
        <v>-140078.859</v>
      </c>
      <c r="AA69" s="16" t="s">
        <v>31</v>
      </c>
      <c r="AB69" s="30">
        <f t="shared" ref="AB69:AE69" si="22">SUM(AB60:AB68)</f>
        <v>1057603.71</v>
      </c>
      <c r="AC69" s="30">
        <f t="shared" si="22"/>
        <v>-10792.01</v>
      </c>
      <c r="AD69" s="30">
        <f t="shared" si="22"/>
        <v>-273276.88</v>
      </c>
      <c r="AE69" s="30">
        <f t="shared" si="22"/>
        <v>773534.81999999972</v>
      </c>
      <c r="AF69" s="30">
        <f>SUM(AF60:AF68)</f>
        <v>6125928.3999999985</v>
      </c>
    </row>
    <row r="70" spans="1:33" ht="13.5" thickTop="1">
      <c r="A70" s="51"/>
      <c r="B70" s="7"/>
      <c r="C70" s="7"/>
      <c r="D70" s="7"/>
      <c r="E70" s="29" t="s">
        <v>61</v>
      </c>
      <c r="F70" s="7">
        <f>+F10</f>
        <v>20001477.77</v>
      </c>
      <c r="K70" s="35"/>
      <c r="L70" s="5"/>
      <c r="M70" s="7"/>
      <c r="N70" s="7"/>
      <c r="O70" s="7"/>
      <c r="P70" s="29" t="s">
        <v>61</v>
      </c>
      <c r="Q70" s="7">
        <f>+Q10</f>
        <v>1586976.73</v>
      </c>
      <c r="AA70" s="51"/>
      <c r="AB70" s="7"/>
      <c r="AC70" s="7"/>
      <c r="AD70" s="7"/>
      <c r="AE70" s="29" t="s">
        <v>61</v>
      </c>
      <c r="AF70" s="7">
        <f>+AF10</f>
        <v>18414501.039999999</v>
      </c>
    </row>
    <row r="71" spans="1:33">
      <c r="A71" s="5" t="s">
        <v>56</v>
      </c>
      <c r="B71" s="7"/>
      <c r="C71" s="7"/>
      <c r="D71" s="7"/>
      <c r="E71" s="29" t="s">
        <v>60</v>
      </c>
      <c r="F71" s="13">
        <f>+F69+E69</f>
        <v>6759384.3699999992</v>
      </c>
      <c r="G71" s="45">
        <f>+F71/F70</f>
        <v>0.33794424830640896</v>
      </c>
      <c r="H71" s="32" t="s">
        <v>62</v>
      </c>
      <c r="I71" s="32" t="s">
        <v>62</v>
      </c>
      <c r="J71" s="32" t="s">
        <v>62</v>
      </c>
      <c r="L71" s="5" t="s">
        <v>56</v>
      </c>
      <c r="M71" s="7"/>
      <c r="N71" s="7"/>
      <c r="O71" s="7"/>
      <c r="P71" s="29" t="s">
        <v>60</v>
      </c>
      <c r="Q71" s="75">
        <f>+Q69+P69</f>
        <v>-140078.859</v>
      </c>
      <c r="R71" s="45">
        <f>+Q71/Q70</f>
        <v>-8.8267746055734536E-2</v>
      </c>
      <c r="AA71" s="5" t="s">
        <v>56</v>
      </c>
      <c r="AB71" s="7"/>
      <c r="AC71" s="7"/>
      <c r="AD71" s="7"/>
      <c r="AE71" s="29" t="s">
        <v>60</v>
      </c>
      <c r="AF71" s="13">
        <f>+AF69+AE69</f>
        <v>6899463.2199999979</v>
      </c>
      <c r="AG71" s="45">
        <f>+AF71/AF70</f>
        <v>0.37467554537660164</v>
      </c>
    </row>
    <row r="72" spans="1:33" ht="13.5" thickBot="1">
      <c r="A72" s="16" t="s">
        <v>78</v>
      </c>
      <c r="B72" s="7"/>
      <c r="C72" s="7"/>
      <c r="D72" s="7"/>
      <c r="E72" s="7" t="s">
        <v>59</v>
      </c>
      <c r="F72" s="30">
        <f>+F70+-F71</f>
        <v>13242093.4</v>
      </c>
      <c r="H72" s="7">
        <f>+H69-F71</f>
        <v>0</v>
      </c>
      <c r="I72" s="46">
        <f>+I69-H69</f>
        <v>0</v>
      </c>
      <c r="J72" s="46">
        <f>+J69-H69</f>
        <v>0</v>
      </c>
      <c r="M72" s="7"/>
      <c r="N72" s="7"/>
      <c r="O72" s="7"/>
      <c r="P72" s="7" t="s">
        <v>59</v>
      </c>
      <c r="Q72" s="30">
        <f>+Q70-Q71</f>
        <v>1727055.5889999999</v>
      </c>
      <c r="R72" s="35"/>
      <c r="AA72" s="16" t="s">
        <v>78</v>
      </c>
      <c r="AB72" s="7"/>
      <c r="AC72" s="7"/>
      <c r="AD72" s="7"/>
      <c r="AE72" s="7" t="s">
        <v>59</v>
      </c>
      <c r="AF72" s="30">
        <f>+AF70+-AF71</f>
        <v>11515037.82</v>
      </c>
    </row>
    <row r="73" spans="1:33" ht="13.5" thickTop="1">
      <c r="A73" s="5" t="s">
        <v>79</v>
      </c>
      <c r="B73" s="7" t="s">
        <v>82</v>
      </c>
      <c r="C73" s="7"/>
      <c r="D73" s="7"/>
      <c r="E73" s="7"/>
      <c r="H73" s="7">
        <f>+H69-F71</f>
        <v>0</v>
      </c>
      <c r="L73" s="16" t="s">
        <v>78</v>
      </c>
      <c r="M73" s="7"/>
      <c r="N73" s="7"/>
      <c r="O73" s="7"/>
      <c r="AA73" s="5" t="s">
        <v>79</v>
      </c>
      <c r="AB73" s="7" t="s">
        <v>82</v>
      </c>
      <c r="AC73" s="7"/>
      <c r="AD73" s="7"/>
      <c r="AE73" s="7"/>
      <c r="AF73" s="7"/>
    </row>
    <row r="74" spans="1:33">
      <c r="A74" s="5" t="s">
        <v>80</v>
      </c>
      <c r="B74" s="7"/>
      <c r="C74" s="7"/>
      <c r="D74" s="7"/>
      <c r="H74" s="7"/>
      <c r="I74" s="7"/>
      <c r="L74" s="5" t="s">
        <v>80</v>
      </c>
      <c r="M74" s="7"/>
      <c r="N74" s="7"/>
      <c r="O74" s="7"/>
      <c r="AA74" s="5" t="s">
        <v>80</v>
      </c>
      <c r="AB74" s="7"/>
      <c r="AC74" s="7"/>
      <c r="AD74" s="7"/>
      <c r="AE74" s="18"/>
      <c r="AF74" s="7"/>
    </row>
    <row r="75" spans="1:33">
      <c r="A75" s="5" t="s">
        <v>81</v>
      </c>
      <c r="H75" s="7"/>
      <c r="I75" s="35"/>
      <c r="J75" s="35"/>
      <c r="L75" s="5" t="s">
        <v>81</v>
      </c>
      <c r="M75" s="13" t="s">
        <v>83</v>
      </c>
      <c r="N75" s="13"/>
      <c r="O75" s="13"/>
      <c r="AA75" s="5" t="s">
        <v>81</v>
      </c>
      <c r="AB75" s="18"/>
      <c r="AC75" s="18"/>
      <c r="AD75" s="18"/>
      <c r="AE75" s="18"/>
      <c r="AF75" s="7"/>
    </row>
    <row r="76" spans="1:33">
      <c r="A76" s="5"/>
      <c r="B76" s="13" t="s">
        <v>83</v>
      </c>
      <c r="C76" s="13"/>
      <c r="D76" s="13"/>
      <c r="H76" s="7"/>
      <c r="I76" s="35"/>
      <c r="J76" s="35"/>
      <c r="AA76" s="5"/>
      <c r="AB76" s="13" t="s">
        <v>83</v>
      </c>
      <c r="AC76" s="13"/>
      <c r="AD76" s="13"/>
      <c r="AE76" s="18"/>
      <c r="AF76" s="7"/>
    </row>
    <row r="77" spans="1:33">
      <c r="B77" s="25"/>
      <c r="C77" s="25"/>
      <c r="D77" s="25"/>
      <c r="E77" s="76" t="s">
        <v>108</v>
      </c>
      <c r="H77" s="7"/>
      <c r="I77" s="35"/>
      <c r="J77" s="35"/>
      <c r="P77" s="76" t="s">
        <v>108</v>
      </c>
      <c r="Q77" s="7"/>
      <c r="AE77" s="76" t="s">
        <v>108</v>
      </c>
      <c r="AF77" s="7"/>
    </row>
    <row r="78" spans="1:33" s="5" customFormat="1">
      <c r="E78" s="29" t="s">
        <v>61</v>
      </c>
      <c r="F78" s="7">
        <v>20001477.77</v>
      </c>
      <c r="G78" s="7"/>
      <c r="H78" s="7"/>
      <c r="I78" s="21"/>
      <c r="J78" s="21"/>
      <c r="L78" s="25"/>
      <c r="M78" s="26"/>
      <c r="N78" s="26"/>
      <c r="O78" s="26"/>
      <c r="P78" s="29" t="s">
        <v>61</v>
      </c>
      <c r="Q78" s="7">
        <v>1586976.73</v>
      </c>
      <c r="R78" s="25"/>
      <c r="AE78" s="29" t="s">
        <v>61</v>
      </c>
      <c r="AF78" s="7">
        <v>18414501.039999999</v>
      </c>
    </row>
    <row r="79" spans="1:33" s="5" customFormat="1">
      <c r="E79" s="29" t="s">
        <v>60</v>
      </c>
      <c r="F79" s="13">
        <v>6759384.3699999992</v>
      </c>
      <c r="G79" s="7"/>
      <c r="H79" s="7"/>
      <c r="I79" s="21"/>
      <c r="J79" s="21"/>
      <c r="L79" s="25"/>
      <c r="M79" s="26"/>
      <c r="N79" s="26"/>
      <c r="O79" s="26"/>
      <c r="P79" s="29" t="s">
        <v>60</v>
      </c>
      <c r="Q79" s="13">
        <v>-140078.859</v>
      </c>
      <c r="R79" s="25"/>
      <c r="AE79" s="29" t="s">
        <v>60</v>
      </c>
      <c r="AF79" s="13">
        <v>6899463.2199999979</v>
      </c>
    </row>
    <row r="80" spans="1:33" s="5" customFormat="1" ht="13.5" thickBot="1">
      <c r="E80" s="7" t="s">
        <v>59</v>
      </c>
      <c r="F80" s="30">
        <v>13242093.4</v>
      </c>
      <c r="G80" s="7"/>
      <c r="L80" s="25"/>
      <c r="M80" s="26"/>
      <c r="N80" s="26"/>
      <c r="O80" s="26"/>
      <c r="P80" s="7" t="s">
        <v>59</v>
      </c>
      <c r="Q80" s="30">
        <v>1727055.5889999999</v>
      </c>
      <c r="R80" s="25"/>
      <c r="AE80" s="7" t="s">
        <v>59</v>
      </c>
      <c r="AF80" s="30">
        <v>11515037.82</v>
      </c>
    </row>
    <row r="81" spans="1:32" s="5" customFormat="1" ht="13.5" thickTop="1">
      <c r="D81" s="7"/>
      <c r="E81" s="18"/>
      <c r="F81" s="7"/>
      <c r="G81" s="7"/>
      <c r="L81" s="25"/>
      <c r="M81" s="26"/>
      <c r="N81" s="26"/>
      <c r="O81" s="26"/>
      <c r="P81" s="18"/>
      <c r="Q81" s="7"/>
      <c r="R81" s="25"/>
      <c r="AE81" s="18"/>
      <c r="AF81" s="7"/>
    </row>
    <row r="82" spans="1:32" s="5" customFormat="1">
      <c r="D82" s="7"/>
      <c r="E82" s="76" t="s">
        <v>109</v>
      </c>
      <c r="F82" s="7"/>
      <c r="G82" s="7"/>
      <c r="L82" s="25"/>
      <c r="M82" s="26"/>
      <c r="N82" s="26"/>
      <c r="O82" s="26"/>
      <c r="P82" s="76" t="s">
        <v>109</v>
      </c>
      <c r="Q82" s="7"/>
      <c r="R82" s="25"/>
      <c r="AE82" s="76" t="s">
        <v>109</v>
      </c>
      <c r="AF82" s="7"/>
    </row>
    <row r="83" spans="1:32" s="5" customFormat="1">
      <c r="D83" s="7"/>
      <c r="E83" s="29" t="s">
        <v>61</v>
      </c>
      <c r="F83" s="7">
        <f>+F70-F78</f>
        <v>0</v>
      </c>
      <c r="G83" s="7"/>
      <c r="H83" s="7"/>
      <c r="I83" s="21"/>
      <c r="J83" s="21"/>
      <c r="L83" s="25"/>
      <c r="M83" s="26"/>
      <c r="N83" s="26"/>
      <c r="O83" s="26"/>
      <c r="P83" s="29" t="s">
        <v>61</v>
      </c>
      <c r="Q83" s="7">
        <f>+Q70-Q78</f>
        <v>0</v>
      </c>
      <c r="R83" s="25"/>
      <c r="AE83" s="29" t="s">
        <v>61</v>
      </c>
      <c r="AF83" s="7">
        <f>+AF70-AF78</f>
        <v>0</v>
      </c>
    </row>
    <row r="84" spans="1:32" s="5" customFormat="1">
      <c r="D84" s="7"/>
      <c r="E84" s="29" t="s">
        <v>60</v>
      </c>
      <c r="F84" s="13">
        <f>+F71-F79</f>
        <v>0</v>
      </c>
      <c r="G84" s="7"/>
      <c r="H84" s="7"/>
      <c r="I84" s="21"/>
      <c r="J84" s="21"/>
      <c r="L84" s="25"/>
      <c r="M84" s="26"/>
      <c r="N84" s="26"/>
      <c r="O84" s="26"/>
      <c r="P84" s="29" t="s">
        <v>60</v>
      </c>
      <c r="Q84" s="13">
        <f>+Q71-Q79</f>
        <v>0</v>
      </c>
      <c r="R84" s="25"/>
      <c r="AE84" s="29" t="s">
        <v>60</v>
      </c>
      <c r="AF84" s="13">
        <f>+AF71-AF79</f>
        <v>0</v>
      </c>
    </row>
    <row r="85" spans="1:32" s="5" customFormat="1" ht="13.5" thickBot="1">
      <c r="D85" s="7"/>
      <c r="E85" s="7" t="s">
        <v>59</v>
      </c>
      <c r="F85" s="30">
        <f>+F72-F80</f>
        <v>0</v>
      </c>
      <c r="G85" s="7"/>
      <c r="L85" s="25"/>
      <c r="M85" s="26"/>
      <c r="N85" s="26"/>
      <c r="O85" s="26"/>
      <c r="P85" s="7" t="s">
        <v>59</v>
      </c>
      <c r="Q85" s="30">
        <f>+Q72-Q80</f>
        <v>0</v>
      </c>
      <c r="R85" s="25"/>
      <c r="AE85" s="7" t="s">
        <v>59</v>
      </c>
      <c r="AF85" s="30">
        <f>+AF72-AF80</f>
        <v>0</v>
      </c>
    </row>
    <row r="86" spans="1:32" s="5" customFormat="1" ht="13.5" thickTop="1">
      <c r="D86" s="7"/>
      <c r="E86" s="18"/>
      <c r="F86" s="7"/>
      <c r="G86" s="7"/>
      <c r="L86" s="25"/>
      <c r="M86" s="26"/>
      <c r="N86" s="26"/>
      <c r="O86" s="26"/>
      <c r="P86" s="26"/>
      <c r="Q86" s="26"/>
      <c r="R86" s="25"/>
      <c r="AE86" s="6"/>
      <c r="AF86" s="7"/>
    </row>
    <row r="87" spans="1:32" s="5" customFormat="1">
      <c r="D87" s="7"/>
      <c r="E87" s="18"/>
      <c r="F87" s="7"/>
      <c r="G87" s="7"/>
      <c r="L87" s="25"/>
      <c r="M87" s="26"/>
      <c r="N87" s="26"/>
      <c r="O87" s="26"/>
      <c r="P87" s="26"/>
      <c r="Q87" s="26"/>
      <c r="R87" s="25"/>
      <c r="AE87" s="6"/>
      <c r="AF87" s="7"/>
    </row>
    <row r="88" spans="1:32" s="5" customFormat="1">
      <c r="D88" s="7"/>
      <c r="E88" s="18"/>
      <c r="F88" s="7"/>
      <c r="G88" s="7"/>
      <c r="L88" s="25"/>
      <c r="M88" s="26"/>
      <c r="N88" s="26"/>
      <c r="O88" s="26"/>
      <c r="P88" s="26"/>
      <c r="Q88" s="26"/>
      <c r="R88" s="25"/>
      <c r="AE88" s="6"/>
      <c r="AF88" s="7"/>
    </row>
    <row r="89" spans="1:32" s="5" customFormat="1">
      <c r="D89" s="49"/>
      <c r="E89" s="18"/>
      <c r="F89" s="7"/>
      <c r="G89" s="7"/>
      <c r="L89" s="25"/>
      <c r="M89" s="26"/>
      <c r="N89" s="26"/>
      <c r="O89" s="26"/>
      <c r="P89" s="26"/>
      <c r="Q89" s="26"/>
      <c r="R89" s="25"/>
      <c r="AE89" s="6"/>
      <c r="AF89" s="7"/>
    </row>
    <row r="90" spans="1:32" s="5" customFormat="1">
      <c r="D90" s="7"/>
      <c r="E90" s="18"/>
      <c r="F90" s="7"/>
      <c r="G90" s="7"/>
      <c r="L90" s="25"/>
      <c r="M90" s="26"/>
      <c r="N90" s="26"/>
      <c r="O90" s="26"/>
      <c r="P90" s="26"/>
      <c r="Q90" s="26"/>
      <c r="R90" s="25"/>
      <c r="AE90" s="6"/>
      <c r="AF90" s="7"/>
    </row>
    <row r="91" spans="1:32" s="5" customFormat="1">
      <c r="D91" s="7"/>
      <c r="E91" s="18"/>
      <c r="F91" s="7"/>
      <c r="G91" s="7"/>
      <c r="M91" s="7"/>
      <c r="N91" s="7"/>
      <c r="O91" s="26"/>
      <c r="P91" s="26"/>
      <c r="Q91" s="26"/>
      <c r="R91" s="25"/>
      <c r="AE91" s="6"/>
      <c r="AF91" s="7"/>
    </row>
    <row r="92" spans="1:32" s="5" customFormat="1">
      <c r="A92" s="6"/>
      <c r="B92" s="7"/>
      <c r="C92" s="7"/>
      <c r="D92" s="7"/>
      <c r="E92" s="18"/>
      <c r="F92" s="7"/>
      <c r="G92" s="7"/>
      <c r="M92" s="7"/>
      <c r="N92" s="7"/>
      <c r="O92" s="26"/>
      <c r="P92" s="26"/>
      <c r="Q92" s="26"/>
      <c r="R92" s="25"/>
    </row>
    <row r="93" spans="1:32" s="5" customFormat="1">
      <c r="B93" s="6"/>
      <c r="C93" s="6"/>
      <c r="D93" s="6"/>
      <c r="E93" s="18"/>
      <c r="F93" s="7"/>
      <c r="G93" s="7"/>
      <c r="M93" s="7"/>
      <c r="N93" s="7"/>
      <c r="O93" s="26"/>
      <c r="P93" s="26"/>
      <c r="Q93" s="26"/>
      <c r="R93" s="25"/>
    </row>
    <row r="94" spans="1:32" s="5" customFormat="1">
      <c r="B94" s="6"/>
      <c r="C94" s="6"/>
      <c r="D94" s="6"/>
      <c r="E94" s="18"/>
      <c r="F94" s="7"/>
      <c r="G94" s="7"/>
      <c r="M94" s="7"/>
      <c r="N94" s="7"/>
      <c r="O94" s="26"/>
      <c r="P94" s="26"/>
      <c r="Q94" s="26"/>
      <c r="R94" s="25"/>
    </row>
    <row r="95" spans="1:32" s="5" customFormat="1">
      <c r="B95" s="6"/>
      <c r="C95" s="6"/>
      <c r="D95" s="6"/>
      <c r="E95" s="6"/>
      <c r="F95" s="7"/>
      <c r="G95" s="7"/>
      <c r="M95" s="7"/>
      <c r="N95" s="7"/>
      <c r="O95" s="26"/>
      <c r="P95" s="26"/>
      <c r="Q95" s="26"/>
      <c r="R95" s="25"/>
    </row>
    <row r="97" spans="3:4">
      <c r="C97" s="26"/>
      <c r="D97" s="26"/>
    </row>
  </sheetData>
  <phoneticPr fontId="5" type="noConversion"/>
  <pageMargins left="0.75" right="0.25" top="0.25" bottom="0.5" header="0.5" footer="0.25"/>
  <pageSetup scale="70" orientation="portrait" r:id="rId1"/>
  <headerFooter alignWithMargins="0">
    <oddFooter>&amp;L&amp;10&amp;F\&amp;A&amp;R&amp;10&amp;D &amp;T</oddFooter>
  </headerFooter>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K50"/>
  <sheetViews>
    <sheetView tabSelected="1" workbookViewId="0">
      <selection activeCell="A8" sqref="A8"/>
    </sheetView>
  </sheetViews>
  <sheetFormatPr defaultRowHeight="15.75"/>
  <cols>
    <col min="1" max="1" width="36.875" style="174" bestFit="1" customWidth="1"/>
    <col min="2" max="2" width="2.625" style="174" customWidth="1"/>
    <col min="3" max="3" width="14.5" style="174" bestFit="1" customWidth="1"/>
    <col min="4" max="5" width="13.375" style="174" bestFit="1" customWidth="1"/>
    <col min="6" max="6" width="14.375" style="174" bestFit="1" customWidth="1"/>
    <col min="7" max="7" width="2.625" style="174" customWidth="1"/>
    <col min="8" max="8" width="10.75" style="174" bestFit="1" customWidth="1"/>
    <col min="9" max="16384" width="9" style="174"/>
  </cols>
  <sheetData>
    <row r="1" spans="1:7">
      <c r="A1" s="174" t="s">
        <v>135</v>
      </c>
    </row>
    <row r="2" spans="1:7">
      <c r="A2" s="174" t="s">
        <v>136</v>
      </c>
    </row>
    <row r="3" spans="1:7">
      <c r="A3" s="174" t="s">
        <v>137</v>
      </c>
    </row>
    <row r="6" spans="1:7">
      <c r="A6" s="174" t="s">
        <v>138</v>
      </c>
    </row>
    <row r="7" spans="1:7">
      <c r="A7" s="174" t="s">
        <v>139</v>
      </c>
      <c r="C7" s="175" t="s">
        <v>140</v>
      </c>
      <c r="D7" s="175" t="s">
        <v>140</v>
      </c>
      <c r="E7" s="175" t="s">
        <v>140</v>
      </c>
      <c r="F7" s="175" t="s">
        <v>141</v>
      </c>
    </row>
    <row r="8" spans="1:7" s="176" customFormat="1">
      <c r="A8" s="176" t="s">
        <v>195</v>
      </c>
      <c r="C8" s="177">
        <v>40513</v>
      </c>
      <c r="D8" s="177">
        <v>40238</v>
      </c>
      <c r="E8" s="178">
        <v>40613</v>
      </c>
      <c r="F8" s="178">
        <v>40613</v>
      </c>
    </row>
    <row r="9" spans="1:7">
      <c r="A9" s="174" t="s">
        <v>142</v>
      </c>
      <c r="C9" s="179">
        <v>2870257.08</v>
      </c>
      <c r="D9" s="179">
        <v>8307931</v>
      </c>
      <c r="E9" s="179">
        <v>4529979.1500000004</v>
      </c>
      <c r="F9" s="179">
        <f>+C9-D9+E9</f>
        <v>-907694.76999999955</v>
      </c>
      <c r="G9" s="174" t="s">
        <v>181</v>
      </c>
    </row>
    <row r="10" spans="1:7">
      <c r="A10" s="174" t="s">
        <v>143</v>
      </c>
      <c r="C10" s="179">
        <v>370860.27</v>
      </c>
      <c r="D10" s="179">
        <v>281769.21999999997</v>
      </c>
      <c r="E10" s="179">
        <v>-1338900.53</v>
      </c>
      <c r="F10" s="179">
        <f t="shared" ref="F10:F34" si="0">+C10-D10+E10</f>
        <v>-1249809.48</v>
      </c>
      <c r="G10" s="174" t="s">
        <v>182</v>
      </c>
    </row>
    <row r="11" spans="1:7">
      <c r="A11" s="174" t="s">
        <v>144</v>
      </c>
      <c r="C11" s="179">
        <v>4803696.87</v>
      </c>
      <c r="D11" s="179">
        <v>4442339.21</v>
      </c>
      <c r="E11" s="179">
        <v>1015723.47</v>
      </c>
      <c r="F11" s="179">
        <f t="shared" si="0"/>
        <v>1377081.1300000001</v>
      </c>
      <c r="G11" s="174" t="s">
        <v>183</v>
      </c>
    </row>
    <row r="12" spans="1:7">
      <c r="A12" s="174" t="s">
        <v>145</v>
      </c>
      <c r="C12" s="179">
        <v>1650378.14</v>
      </c>
      <c r="D12" s="179">
        <v>332436.14</v>
      </c>
      <c r="E12" s="179">
        <v>-515008.78</v>
      </c>
      <c r="F12" s="179">
        <f t="shared" si="0"/>
        <v>802933.22</v>
      </c>
      <c r="G12" s="174" t="s">
        <v>184</v>
      </c>
    </row>
    <row r="13" spans="1:7">
      <c r="A13" s="174" t="s">
        <v>146</v>
      </c>
      <c r="C13" s="179">
        <v>-1328039.69</v>
      </c>
      <c r="D13" s="179">
        <v>-2514408.52</v>
      </c>
      <c r="E13" s="179">
        <v>-3327520.08</v>
      </c>
      <c r="F13" s="179">
        <f t="shared" si="0"/>
        <v>-2141151.25</v>
      </c>
      <c r="G13" s="174" t="s">
        <v>185</v>
      </c>
    </row>
    <row r="14" spans="1:7">
      <c r="A14" s="174" t="s">
        <v>147</v>
      </c>
      <c r="C14" s="179">
        <v>0</v>
      </c>
      <c r="D14" s="179">
        <v>-39450</v>
      </c>
      <c r="E14" s="179">
        <v>0</v>
      </c>
      <c r="F14" s="179">
        <f t="shared" si="0"/>
        <v>39450</v>
      </c>
      <c r="G14" s="174" t="s">
        <v>193</v>
      </c>
    </row>
    <row r="15" spans="1:7">
      <c r="A15" s="174" t="s">
        <v>148</v>
      </c>
      <c r="C15" s="179">
        <v>-15688</v>
      </c>
      <c r="D15" s="179">
        <v>-7435</v>
      </c>
      <c r="E15" s="179">
        <v>4692</v>
      </c>
      <c r="F15" s="179">
        <f t="shared" si="0"/>
        <v>-3561</v>
      </c>
      <c r="G15" s="174" t="s">
        <v>193</v>
      </c>
    </row>
    <row r="16" spans="1:7">
      <c r="A16" s="174" t="s">
        <v>149</v>
      </c>
      <c r="C16" s="179">
        <v>-154285.68</v>
      </c>
      <c r="D16" s="179">
        <v>-38571.42</v>
      </c>
      <c r="E16" s="179">
        <v>-38571.42</v>
      </c>
      <c r="F16" s="179">
        <f t="shared" si="0"/>
        <v>-154285.68</v>
      </c>
      <c r="G16" s="174" t="s">
        <v>186</v>
      </c>
    </row>
    <row r="17" spans="1:7">
      <c r="A17" s="174" t="s">
        <v>150</v>
      </c>
      <c r="C17" s="179">
        <v>-227201.44</v>
      </c>
      <c r="D17" s="179">
        <v>-55823.91</v>
      </c>
      <c r="E17" s="179">
        <v>-19784.64</v>
      </c>
      <c r="F17" s="179">
        <f t="shared" si="0"/>
        <v>-191162.16999999998</v>
      </c>
      <c r="G17" s="174" t="s">
        <v>187</v>
      </c>
    </row>
    <row r="18" spans="1:7">
      <c r="A18" s="174" t="s">
        <v>151</v>
      </c>
      <c r="C18" s="179">
        <v>704384.73</v>
      </c>
      <c r="D18" s="179">
        <v>172830.45</v>
      </c>
      <c r="E18" s="179">
        <v>173448.36</v>
      </c>
      <c r="F18" s="179">
        <f t="shared" si="0"/>
        <v>705002.64</v>
      </c>
      <c r="G18" s="174" t="s">
        <v>182</v>
      </c>
    </row>
    <row r="19" spans="1:7">
      <c r="A19" s="174" t="s">
        <v>152</v>
      </c>
      <c r="C19" s="179">
        <v>11531321.710000001</v>
      </c>
      <c r="D19" s="179">
        <v>3029760.16</v>
      </c>
      <c r="E19" s="179">
        <v>3001399.62</v>
      </c>
      <c r="F19" s="179">
        <f t="shared" si="0"/>
        <v>11502961.170000002</v>
      </c>
      <c r="G19" s="174" t="s">
        <v>182</v>
      </c>
    </row>
    <row r="20" spans="1:7">
      <c r="A20" s="174" t="s">
        <v>153</v>
      </c>
      <c r="C20" s="179">
        <v>19250</v>
      </c>
      <c r="D20" s="179">
        <v>35000</v>
      </c>
      <c r="E20" s="179">
        <v>-5250</v>
      </c>
      <c r="F20" s="179">
        <f t="shared" si="0"/>
        <v>-21000</v>
      </c>
      <c r="G20" s="174" t="s">
        <v>193</v>
      </c>
    </row>
    <row r="21" spans="1:7">
      <c r="A21" s="174" t="s">
        <v>154</v>
      </c>
      <c r="C21" s="179">
        <v>378439.07</v>
      </c>
      <c r="D21" s="179">
        <v>427.52</v>
      </c>
      <c r="E21" s="179">
        <v>58838.02</v>
      </c>
      <c r="F21" s="179">
        <f t="shared" si="0"/>
        <v>436849.57</v>
      </c>
      <c r="G21" s="174" t="s">
        <v>182</v>
      </c>
    </row>
    <row r="22" spans="1:7">
      <c r="A22" s="174" t="s">
        <v>155</v>
      </c>
      <c r="C22" s="179">
        <v>764362.03</v>
      </c>
      <c r="D22" s="179">
        <v>614638.34</v>
      </c>
      <c r="E22" s="179">
        <v>395934.15</v>
      </c>
      <c r="F22" s="179">
        <f t="shared" si="0"/>
        <v>545657.84000000008</v>
      </c>
      <c r="G22" s="174" t="s">
        <v>182</v>
      </c>
    </row>
    <row r="23" spans="1:7">
      <c r="A23" s="174" t="s">
        <v>156</v>
      </c>
      <c r="C23" s="179">
        <v>101266.45</v>
      </c>
      <c r="D23" s="179">
        <v>-45584.91</v>
      </c>
      <c r="E23" s="179">
        <v>-496129.09</v>
      </c>
      <c r="F23" s="179">
        <f t="shared" si="0"/>
        <v>-349277.73000000004</v>
      </c>
      <c r="G23" s="174" t="s">
        <v>188</v>
      </c>
    </row>
    <row r="24" spans="1:7">
      <c r="A24" s="174" t="s">
        <v>157</v>
      </c>
      <c r="C24" s="179">
        <v>-10860.36</v>
      </c>
      <c r="D24" s="179">
        <v>70923.100000000006</v>
      </c>
      <c r="E24" s="179">
        <v>68553.02</v>
      </c>
      <c r="F24" s="179">
        <f t="shared" si="0"/>
        <v>-13230.440000000002</v>
      </c>
      <c r="G24" s="174" t="s">
        <v>182</v>
      </c>
    </row>
    <row r="25" spans="1:7">
      <c r="A25" s="174" t="s">
        <v>158</v>
      </c>
      <c r="C25" s="179">
        <v>-244298</v>
      </c>
      <c r="D25" s="179">
        <v>0</v>
      </c>
      <c r="E25" s="179">
        <v>0</v>
      </c>
      <c r="F25" s="179">
        <f t="shared" si="0"/>
        <v>-244298</v>
      </c>
      <c r="G25" s="174" t="s">
        <v>182</v>
      </c>
    </row>
    <row r="26" spans="1:7">
      <c r="A26" s="174" t="s">
        <v>159</v>
      </c>
      <c r="C26" s="179">
        <v>1028961.31</v>
      </c>
      <c r="D26" s="179">
        <v>113680.2</v>
      </c>
      <c r="E26" s="179">
        <v>252588.66</v>
      </c>
      <c r="F26" s="179">
        <f t="shared" si="0"/>
        <v>1167869.77</v>
      </c>
      <c r="G26" s="174" t="s">
        <v>182</v>
      </c>
    </row>
    <row r="27" spans="1:7">
      <c r="A27" s="174" t="s">
        <v>160</v>
      </c>
      <c r="C27" s="179">
        <v>-15052866.1</v>
      </c>
      <c r="D27" s="179">
        <v>-6954885.0800000001</v>
      </c>
      <c r="E27" s="179">
        <v>-2365348.46</v>
      </c>
      <c r="F27" s="179">
        <f t="shared" si="0"/>
        <v>-10463329.48</v>
      </c>
      <c r="G27" s="174" t="s">
        <v>189</v>
      </c>
    </row>
    <row r="28" spans="1:7">
      <c r="A28" s="174" t="s">
        <v>161</v>
      </c>
      <c r="C28" s="179">
        <v>-976261.49</v>
      </c>
      <c r="D28" s="179">
        <v>108160.06</v>
      </c>
      <c r="E28" s="179">
        <v>154737.19</v>
      </c>
      <c r="F28" s="179">
        <f t="shared" si="0"/>
        <v>-929684.3600000001</v>
      </c>
      <c r="G28" s="174" t="s">
        <v>190</v>
      </c>
    </row>
    <row r="29" spans="1:7">
      <c r="A29" s="174" t="s">
        <v>162</v>
      </c>
      <c r="C29" s="179">
        <v>-277704.37</v>
      </c>
      <c r="D29" s="179">
        <v>0</v>
      </c>
      <c r="E29" s="179">
        <v>182201.69</v>
      </c>
      <c r="F29" s="179">
        <f t="shared" si="0"/>
        <v>-95502.68</v>
      </c>
      <c r="G29" s="174" t="s">
        <v>182</v>
      </c>
    </row>
    <row r="30" spans="1:7">
      <c r="A30" s="174" t="s">
        <v>163</v>
      </c>
      <c r="C30" s="179">
        <v>5111083.51</v>
      </c>
      <c r="D30" s="179">
        <v>885996.84</v>
      </c>
      <c r="E30" s="179">
        <v>884372.97</v>
      </c>
      <c r="F30" s="179">
        <f t="shared" si="0"/>
        <v>5109459.6399999997</v>
      </c>
      <c r="G30" s="174" t="s">
        <v>191</v>
      </c>
    </row>
    <row r="31" spans="1:7">
      <c r="A31" s="174" t="s">
        <v>164</v>
      </c>
      <c r="C31" s="179">
        <v>12807.94</v>
      </c>
      <c r="D31" s="179">
        <v>62158.39</v>
      </c>
      <c r="E31" s="179">
        <v>181189.3</v>
      </c>
      <c r="F31" s="179">
        <f t="shared" si="0"/>
        <v>131838.84999999998</v>
      </c>
      <c r="G31" s="174" t="s">
        <v>193</v>
      </c>
    </row>
    <row r="32" spans="1:7">
      <c r="A32" s="174" t="s">
        <v>165</v>
      </c>
      <c r="C32" s="179">
        <v>-1274756.54</v>
      </c>
      <c r="D32" s="179">
        <v>362896.82</v>
      </c>
      <c r="E32" s="179">
        <v>368381.25</v>
      </c>
      <c r="F32" s="179">
        <f t="shared" si="0"/>
        <v>-1269272.1100000001</v>
      </c>
      <c r="G32" s="174" t="s">
        <v>192</v>
      </c>
    </row>
    <row r="33" spans="1:11">
      <c r="A33" s="174" t="s">
        <v>166</v>
      </c>
      <c r="C33" s="179">
        <v>335738.36</v>
      </c>
      <c r="D33" s="179">
        <v>80276.81</v>
      </c>
      <c r="E33" s="179">
        <v>-359311.48</v>
      </c>
      <c r="F33" s="179">
        <f t="shared" si="0"/>
        <v>-103849.93</v>
      </c>
      <c r="G33" s="174" t="s">
        <v>182</v>
      </c>
    </row>
    <row r="34" spans="1:11">
      <c r="A34" s="174" t="s">
        <v>167</v>
      </c>
      <c r="C34" s="179">
        <v>318624.49</v>
      </c>
      <c r="D34" s="179">
        <v>45675.7</v>
      </c>
      <c r="E34" s="179">
        <v>115087.56</v>
      </c>
      <c r="F34" s="179">
        <f t="shared" si="0"/>
        <v>388036.35</v>
      </c>
      <c r="G34" s="174" t="s">
        <v>182</v>
      </c>
    </row>
    <row r="35" spans="1:11">
      <c r="C35" s="180">
        <f t="shared" ref="C35:F35" si="1">SUM(C9:C34)</f>
        <v>10439470.290000001</v>
      </c>
      <c r="D35" s="180">
        <f t="shared" si="1"/>
        <v>9290741.1199999992</v>
      </c>
      <c r="E35" s="180">
        <f t="shared" si="1"/>
        <v>2921301.9299999997</v>
      </c>
      <c r="F35" s="180">
        <f t="shared" si="1"/>
        <v>4070031.1000000006</v>
      </c>
    </row>
    <row r="37" spans="1:11">
      <c r="A37" s="174" t="s">
        <v>168</v>
      </c>
      <c r="C37" s="181">
        <f>ROUND((C9/1000),0)</f>
        <v>2870</v>
      </c>
      <c r="D37" s="181">
        <f t="shared" ref="D37:E37" si="2">ROUND((D9/1000),0)</f>
        <v>8308</v>
      </c>
      <c r="E37" s="181">
        <f t="shared" si="2"/>
        <v>4530</v>
      </c>
      <c r="F37" s="181">
        <f>ROUND((F9/1000),0)</f>
        <v>-908</v>
      </c>
      <c r="G37" s="174" t="s">
        <v>181</v>
      </c>
      <c r="H37" s="181">
        <v>-908</v>
      </c>
      <c r="I37" s="182">
        <f>+H37-F37</f>
        <v>0</v>
      </c>
      <c r="J37" s="182">
        <f>+C37-D37+E37</f>
        <v>-908</v>
      </c>
      <c r="K37" s="182">
        <f>+F37-J37</f>
        <v>0</v>
      </c>
    </row>
    <row r="38" spans="1:11">
      <c r="A38" s="174" t="s">
        <v>169</v>
      </c>
      <c r="C38" s="181">
        <f>ROUND((SUM(C10,C18:C19,C21:C22,C24:C26,C29,C33:C34)/1000),0)-1</f>
        <v>14899</v>
      </c>
      <c r="D38" s="181">
        <f>ROUND((SUM(D10,D18:D19,D21:D22,D24:D26,D29,D33:D34)/1000),0)</f>
        <v>4410</v>
      </c>
      <c r="E38" s="181">
        <f>ROUND((SUM(E10,E18:E19,E21:E22,E24:E26,E29,E33:E34)/1000),0)</f>
        <v>2550</v>
      </c>
      <c r="F38" s="181">
        <f>ROUND((SUM(F10,F18:F19,F21:F22,F24:F26,F29,F33:F34)/1000),0)-1</f>
        <v>13039</v>
      </c>
      <c r="G38" s="174" t="s">
        <v>182</v>
      </c>
      <c r="H38" s="181">
        <v>13039</v>
      </c>
      <c r="I38" s="182">
        <f t="shared" ref="I38:I50" si="3">+H38-F38</f>
        <v>0</v>
      </c>
      <c r="J38" s="182">
        <f t="shared" ref="J38:J50" si="4">+C38-D38+E38</f>
        <v>13039</v>
      </c>
      <c r="K38" s="182">
        <f t="shared" ref="K38:K50" si="5">+F38-J38</f>
        <v>0</v>
      </c>
    </row>
    <row r="39" spans="1:11">
      <c r="A39" s="174" t="s">
        <v>170</v>
      </c>
      <c r="C39" s="181">
        <f>ROUND((C11/1000),0)</f>
        <v>4804</v>
      </c>
      <c r="D39" s="181">
        <f>ROUND((D11/1000),0)+1</f>
        <v>4443</v>
      </c>
      <c r="E39" s="181">
        <f t="shared" ref="E39" si="6">ROUND((E11/1000),0)</f>
        <v>1016</v>
      </c>
      <c r="F39" s="181">
        <f>ROUND((F11/1000),0)</f>
        <v>1377</v>
      </c>
      <c r="G39" s="174" t="s">
        <v>183</v>
      </c>
      <c r="H39" s="181">
        <v>1377</v>
      </c>
      <c r="I39" s="182">
        <f t="shared" si="3"/>
        <v>0</v>
      </c>
      <c r="J39" s="182">
        <f t="shared" si="4"/>
        <v>1377</v>
      </c>
      <c r="K39" s="182">
        <f t="shared" si="5"/>
        <v>0</v>
      </c>
    </row>
    <row r="40" spans="1:11">
      <c r="A40" s="174" t="s">
        <v>171</v>
      </c>
      <c r="C40" s="181">
        <f t="shared" ref="C40:E41" si="7">ROUND((C12/1000),0)</f>
        <v>1650</v>
      </c>
      <c r="D40" s="181">
        <f t="shared" si="7"/>
        <v>332</v>
      </c>
      <c r="E40" s="181">
        <f t="shared" si="7"/>
        <v>-515</v>
      </c>
      <c r="F40" s="181">
        <f t="shared" ref="F40:F41" si="8">ROUND((F12/1000),0)</f>
        <v>803</v>
      </c>
      <c r="G40" s="174" t="s">
        <v>184</v>
      </c>
      <c r="H40" s="181">
        <v>803</v>
      </c>
      <c r="I40" s="182">
        <f t="shared" si="3"/>
        <v>0</v>
      </c>
      <c r="J40" s="182">
        <f t="shared" si="4"/>
        <v>803</v>
      </c>
      <c r="K40" s="182">
        <f t="shared" si="5"/>
        <v>0</v>
      </c>
    </row>
    <row r="41" spans="1:11">
      <c r="A41" s="174" t="s">
        <v>172</v>
      </c>
      <c r="C41" s="181">
        <f t="shared" si="7"/>
        <v>-1328</v>
      </c>
      <c r="D41" s="181">
        <f>ROUND((D13/1000),0)-1</f>
        <v>-2515</v>
      </c>
      <c r="E41" s="181">
        <f t="shared" si="7"/>
        <v>-3328</v>
      </c>
      <c r="F41" s="181">
        <f t="shared" si="8"/>
        <v>-2141</v>
      </c>
      <c r="G41" s="174" t="s">
        <v>185</v>
      </c>
      <c r="H41" s="181">
        <v>-2141</v>
      </c>
      <c r="I41" s="182">
        <f t="shared" si="3"/>
        <v>0</v>
      </c>
      <c r="J41" s="182">
        <f t="shared" si="4"/>
        <v>-2141</v>
      </c>
      <c r="K41" s="182">
        <f t="shared" si="5"/>
        <v>0</v>
      </c>
    </row>
    <row r="42" spans="1:11">
      <c r="A42" s="174" t="s">
        <v>173</v>
      </c>
      <c r="C42" s="181">
        <f>ROUND((C16/1000),0)</f>
        <v>-154</v>
      </c>
      <c r="D42" s="181">
        <f t="shared" ref="D42:E42" si="9">ROUND((D16/1000),0)</f>
        <v>-39</v>
      </c>
      <c r="E42" s="181">
        <f t="shared" si="9"/>
        <v>-39</v>
      </c>
      <c r="F42" s="181">
        <f>ROUND((F16/1000),0)</f>
        <v>-154</v>
      </c>
      <c r="G42" s="174" t="s">
        <v>186</v>
      </c>
      <c r="H42" s="181">
        <v>-154</v>
      </c>
      <c r="I42" s="182">
        <f t="shared" si="3"/>
        <v>0</v>
      </c>
      <c r="J42" s="182">
        <f t="shared" si="4"/>
        <v>-154</v>
      </c>
      <c r="K42" s="182">
        <f t="shared" si="5"/>
        <v>0</v>
      </c>
    </row>
    <row r="43" spans="1:11">
      <c r="A43" s="174" t="s">
        <v>174</v>
      </c>
      <c r="C43" s="181">
        <f t="shared" ref="C43:E43" si="10">ROUND((C17/1000),0)</f>
        <v>-227</v>
      </c>
      <c r="D43" s="181">
        <f t="shared" si="10"/>
        <v>-56</v>
      </c>
      <c r="E43" s="181">
        <f t="shared" si="10"/>
        <v>-20</v>
      </c>
      <c r="F43" s="181">
        <f t="shared" ref="F43" si="11">ROUND((F17/1000),0)</f>
        <v>-191</v>
      </c>
      <c r="G43" s="174" t="s">
        <v>187</v>
      </c>
      <c r="H43" s="181">
        <v>-191</v>
      </c>
      <c r="I43" s="182">
        <f t="shared" si="3"/>
        <v>0</v>
      </c>
      <c r="J43" s="182">
        <f t="shared" si="4"/>
        <v>-191</v>
      </c>
      <c r="K43" s="182">
        <f t="shared" si="5"/>
        <v>0</v>
      </c>
    </row>
    <row r="44" spans="1:11">
      <c r="A44" s="174" t="s">
        <v>175</v>
      </c>
      <c r="C44" s="181">
        <f>ROUND((C23/1000),0)</f>
        <v>101</v>
      </c>
      <c r="D44" s="181">
        <f t="shared" ref="D44:E44" si="12">ROUND((D23/1000),0)</f>
        <v>-46</v>
      </c>
      <c r="E44" s="181">
        <f t="shared" si="12"/>
        <v>-496</v>
      </c>
      <c r="F44" s="181">
        <f>ROUND((F23/1000),0)</f>
        <v>-349</v>
      </c>
      <c r="G44" s="174" t="s">
        <v>188</v>
      </c>
      <c r="H44" s="181">
        <v>-349</v>
      </c>
      <c r="I44" s="182">
        <f t="shared" si="3"/>
        <v>0</v>
      </c>
      <c r="J44" s="182">
        <f t="shared" si="4"/>
        <v>-349</v>
      </c>
      <c r="K44" s="182">
        <f t="shared" si="5"/>
        <v>0</v>
      </c>
    </row>
    <row r="45" spans="1:11">
      <c r="A45" s="174" t="s">
        <v>176</v>
      </c>
      <c r="C45" s="181">
        <f>ROUND((C27/1000),0)</f>
        <v>-15053</v>
      </c>
      <c r="D45" s="181">
        <f t="shared" ref="D45:E45" si="13">ROUND((D27/1000),0)</f>
        <v>-6955</v>
      </c>
      <c r="E45" s="181">
        <f t="shared" si="13"/>
        <v>-2365</v>
      </c>
      <c r="F45" s="181">
        <f>ROUND((F27/1000),0)</f>
        <v>-10463</v>
      </c>
      <c r="G45" s="174" t="s">
        <v>189</v>
      </c>
      <c r="H45" s="181">
        <v>-10463</v>
      </c>
      <c r="I45" s="182">
        <f t="shared" si="3"/>
        <v>0</v>
      </c>
      <c r="J45" s="182">
        <f t="shared" si="4"/>
        <v>-10463</v>
      </c>
      <c r="K45" s="182">
        <f t="shared" si="5"/>
        <v>0</v>
      </c>
    </row>
    <row r="46" spans="1:11">
      <c r="A46" s="174" t="s">
        <v>177</v>
      </c>
      <c r="C46" s="181">
        <f t="shared" ref="C46:E46" si="14">ROUND((C28/1000),0)</f>
        <v>-976</v>
      </c>
      <c r="D46" s="181">
        <f>ROUND((D28/1000),0)+1</f>
        <v>109</v>
      </c>
      <c r="E46" s="181">
        <f t="shared" si="14"/>
        <v>155</v>
      </c>
      <c r="F46" s="181">
        <f t="shared" ref="F46" si="15">ROUND((F28/1000),0)</f>
        <v>-930</v>
      </c>
      <c r="G46" s="174" t="s">
        <v>190</v>
      </c>
      <c r="H46" s="181">
        <v>-930</v>
      </c>
      <c r="I46" s="182">
        <f t="shared" si="3"/>
        <v>0</v>
      </c>
      <c r="J46" s="182">
        <f t="shared" si="4"/>
        <v>-930</v>
      </c>
      <c r="K46" s="182">
        <f t="shared" si="5"/>
        <v>0</v>
      </c>
    </row>
    <row r="47" spans="1:11">
      <c r="A47" s="174" t="s">
        <v>178</v>
      </c>
      <c r="C47" s="181">
        <f>ROUND((C30/1000),0)</f>
        <v>5111</v>
      </c>
      <c r="D47" s="181">
        <f t="shared" ref="D47:E47" si="16">ROUND((D30/1000),0)</f>
        <v>886</v>
      </c>
      <c r="E47" s="181">
        <f t="shared" si="16"/>
        <v>884</v>
      </c>
      <c r="F47" s="181">
        <f>ROUND((F30/1000),0)</f>
        <v>5109</v>
      </c>
      <c r="G47" s="174" t="s">
        <v>191</v>
      </c>
      <c r="H47" s="181">
        <v>5109</v>
      </c>
      <c r="I47" s="182">
        <f t="shared" si="3"/>
        <v>0</v>
      </c>
      <c r="J47" s="182">
        <f t="shared" si="4"/>
        <v>5109</v>
      </c>
      <c r="K47" s="182">
        <f t="shared" si="5"/>
        <v>0</v>
      </c>
    </row>
    <row r="48" spans="1:11">
      <c r="A48" s="174" t="s">
        <v>179</v>
      </c>
      <c r="C48" s="181">
        <f>ROUND((C32/1000),0)</f>
        <v>-1275</v>
      </c>
      <c r="D48" s="181">
        <f>ROUND((D32/1000),0)-1</f>
        <v>362</v>
      </c>
      <c r="E48" s="181">
        <f t="shared" ref="E48" si="17">ROUND((E32/1000),0)</f>
        <v>368</v>
      </c>
      <c r="F48" s="181">
        <f>ROUND((F32/1000),0)</f>
        <v>-1269</v>
      </c>
      <c r="G48" s="174" t="s">
        <v>192</v>
      </c>
      <c r="H48" s="181">
        <v>-1269</v>
      </c>
      <c r="I48" s="182">
        <f t="shared" si="3"/>
        <v>0</v>
      </c>
      <c r="J48" s="182">
        <f t="shared" si="4"/>
        <v>-1269</v>
      </c>
      <c r="K48" s="182">
        <f t="shared" si="5"/>
        <v>0</v>
      </c>
    </row>
    <row r="49" spans="1:11">
      <c r="A49" s="174" t="s">
        <v>180</v>
      </c>
      <c r="C49" s="181">
        <f>ROUND((SUM(C14:C15,C20,C31)/1000),0)+1</f>
        <v>17</v>
      </c>
      <c r="D49" s="181">
        <f>ROUND((SUM(D14:D15,D20,D31)/1000),0)+1</f>
        <v>51</v>
      </c>
      <c r="E49" s="181">
        <f t="shared" ref="E49" si="18">ROUND((SUM(E14:E15,E20,E31)/1000),0)</f>
        <v>181</v>
      </c>
      <c r="F49" s="181">
        <f>ROUND((SUM(F14:F15,F20,F31)/1000),0)</f>
        <v>147</v>
      </c>
      <c r="G49" s="174" t="s">
        <v>193</v>
      </c>
      <c r="H49" s="181">
        <v>147</v>
      </c>
      <c r="I49" s="182">
        <f t="shared" si="3"/>
        <v>0</v>
      </c>
      <c r="J49" s="182">
        <f t="shared" si="4"/>
        <v>147</v>
      </c>
      <c r="K49" s="182">
        <f t="shared" si="5"/>
        <v>0</v>
      </c>
    </row>
    <row r="50" spans="1:11">
      <c r="C50" s="183">
        <f>SUM(C37:C49)</f>
        <v>10439</v>
      </c>
      <c r="D50" s="183">
        <f t="shared" ref="D50:E50" si="19">SUM(D37:D49)</f>
        <v>9290</v>
      </c>
      <c r="E50" s="183">
        <f t="shared" si="19"/>
        <v>2921</v>
      </c>
      <c r="F50" s="183">
        <f>SUM(F37:F49)</f>
        <v>4070</v>
      </c>
      <c r="G50" s="174" t="s">
        <v>194</v>
      </c>
      <c r="H50" s="181">
        <v>4070</v>
      </c>
      <c r="I50" s="182">
        <f t="shared" si="3"/>
        <v>0</v>
      </c>
      <c r="J50" s="182">
        <f t="shared" si="4"/>
        <v>4070</v>
      </c>
      <c r="K50" s="182">
        <f t="shared" si="5"/>
        <v>0</v>
      </c>
    </row>
  </sheetData>
  <pageMargins left="0.7" right="0.7" top="0.75" bottom="0.75" header="0.3" footer="0.3"/>
  <pageSetup scale="86" orientation="portrait" r:id="rId1"/>
  <headerFooter>
    <oddFooter>&amp;L&amp;10&amp;F&amp;A&amp;C&amp;10Page &amp;P of &amp;N&amp;R&amp;10&amp;D &amp;T</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12MTDMar2011</vt:lpstr>
      <vt:lpstr>Dec 2010</vt:lpstr>
      <vt:lpstr>Mar 2010</vt:lpstr>
      <vt:lpstr>Mar 2011</vt:lpstr>
      <vt:lpstr>Timing</vt:lpstr>
      <vt:lpstr>'12MTDMar2011'!Print_Area</vt:lpstr>
      <vt:lpstr>'Dec 2010'!Print_Area</vt:lpstr>
      <vt:lpstr>'Mar 2010'!Print_Area</vt:lpstr>
      <vt:lpstr>'Mar 2011'!Print_Area</vt:lpstr>
      <vt:lpstr>Timing!Print_Area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sajordan</cp:lastModifiedBy>
  <cp:lastPrinted>2011-06-24T13:36:44Z</cp:lastPrinted>
  <dcterms:created xsi:type="dcterms:W3CDTF">2007-06-10T12:45:58Z</dcterms:created>
  <dcterms:modified xsi:type="dcterms:W3CDTF">2011-06-24T13:49:56Z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-1309714737</vt:i4>
  </property>
  <property fmtid="{D5CDD505-2E9C-101B-9397-08002B2CF9AE}" pid="3" name="_NewReviewCycle">
    <vt:lpwstr/>
  </property>
  <property fmtid="{D5CDD505-2E9C-101B-9397-08002B2CF9AE}" pid="4" name="_EmailSubject">
    <vt:lpwstr/>
  </property>
  <property fmtid="{D5CDD505-2E9C-101B-9397-08002B2CF9AE}" pid="5" name="_AuthorEmail">
    <vt:lpwstr>PDSHIMEL@southernco.com</vt:lpwstr>
  </property>
  <property fmtid="{D5CDD505-2E9C-101B-9397-08002B2CF9AE}" pid="6" name="_AuthorEmailDisplayName">
    <vt:lpwstr>Shimel, Paul D.</vt:lpwstr>
  </property>
  <property fmtid="{D5CDD505-2E9C-101B-9397-08002B2CF9AE}" pid="7" name="_PreviousAdHocReviewCycleID">
    <vt:i4>2108935573</vt:i4>
  </property>
  <property fmtid="{D5CDD505-2E9C-101B-9397-08002B2CF9AE}" pid="8" name="_ReviewingToolsShownOnce">
    <vt:lpwstr/>
  </property>
</Properties>
</file>