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5270" windowHeight="5670" tabRatio="938"/>
  </bookViews>
  <sheets>
    <sheet name="2012 AR - Solar" sheetId="1" r:id="rId1"/>
    <sheet name="2012 Actuals" sheetId="11" r:id="rId2"/>
    <sheet name="NPV 2012" sheetId="3" r:id="rId3"/>
    <sheet name="2012 ECCR Cost" sheetId="14" r:id="rId4"/>
  </sheets>
  <externalReferences>
    <externalReference r:id="rId5"/>
    <externalReference r:id="rId6"/>
    <externalReference r:id="rId7"/>
    <externalReference r:id="rId8"/>
  </externalReferences>
  <definedNames>
    <definedName name="_ATPRegress_Dlg_Results" localSheetId="1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1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localSheetId="1" hidden="1">'[1]ST Corrections'!#REF!</definedName>
    <definedName name="_ATPRegress_Range1" hidden="1">'[1]ST Corrections'!#REF!</definedName>
    <definedName name="_ATPRegress_Range2" localSheetId="1" hidden="1">'[1]ST Corrections'!#REF!</definedName>
    <definedName name="_ATPRegress_Range2" hidden="1">'[1]ST Corrections'!#REF!</definedName>
    <definedName name="_ATPRegress_Range3" localSheetId="1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Key1" localSheetId="1" hidden="1">[2]Index!#REF!</definedName>
    <definedName name="_Key1" localSheetId="0" hidden="1">[3]Index!#REF!</definedName>
    <definedName name="_Key1" localSheetId="2" hidden="1">[4]Index!#REF!</definedName>
    <definedName name="_Key1" hidden="1">[3]Index!#REF!</definedName>
    <definedName name="_Sort" localSheetId="1" hidden="1">#REF!</definedName>
    <definedName name="_Sort" localSheetId="2" hidden="1">#REF!</definedName>
    <definedName name="_Sort" hidden="1">#REF!</definedName>
    <definedName name="a" localSheetId="1" hidden="1">{"Martin Oct94_Mar95",#N/A,FALSE,"Martin Oct94 - Mar95"}</definedName>
    <definedName name="a" hidden="1">{"Martin Oct94_Mar95",#N/A,FALSE,"Martin Oct94 - Mar95"}</definedName>
    <definedName name="aa" localSheetId="1" hidden="1">{"Martin Oct94_Mar95",#N/A,FALSE,"Martin Oct94 - Mar95"}</definedName>
    <definedName name="aa" hidden="1">{"Martin Oct94_Mar95",#N/A,FALSE,"Martin Oct94 - Mar95"}</definedName>
    <definedName name="aaaa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tpregress_dlg_type" localSheetId="1" hidden="1">{"EXCELHLP.HLP!1802";5;10;5;10;13;13;13;8;5;5;10;14;13;13;13;13;5;10;14;13;5;10;1;2;24}</definedName>
    <definedName name="atpregress_dlg_type" hidden="1">{"EXCELHLP.HLP!1802";5;10;5;10;13;13;13;8;5;5;10;14;13;13;13;13;5;10;14;13;5;10;1;2;24}</definedName>
    <definedName name="pig" localSheetId="1" hidden="1">{#N/A,#N/A,FALSE,"T COST";#N/A,#N/A,FALSE,"COST_FH"}</definedName>
    <definedName name="pig" hidden="1">{#N/A,#N/A,FALSE,"T COST";#N/A,#N/A,FALSE,"COST_FH"}</definedName>
    <definedName name="pig_dig5" localSheetId="1" hidden="1">{#N/A,#N/A,FALSE,"T COST";#N/A,#N/A,FALSE,"COST_FH"}</definedName>
    <definedName name="pig_dig5" hidden="1">{#N/A,#N/A,FALSE,"T COST";#N/A,#N/A,FALSE,"COST_FH"}</definedName>
    <definedName name="pig_dog" localSheetId="1" hidden="1">{2;#N/A;"R13C16:R17C16";#N/A;"R13C14:R17C15";FALSE;FALSE;FALSE;95;#N/A;#N/A;"R13C19";#N/A;FALSE;FALSE;FALSE;FALSE;#N/A;"";#N/A;FALSE;"";"";#N/A;#N/A;#N/A}</definedName>
    <definedName name="pig_dog" hidden="1">{2;#N/A;"R13C16:R17C16";#N/A;"R13C14:R17C15";FALSE;FALSE;FALSE;95;#N/A;#N/A;"R13C19";#N/A;FALSE;FALSE;FALSE;FALSE;#N/A;"";#N/A;FALSE;"";"";#N/A;#N/A;#N/A}</definedName>
    <definedName name="pig_dog\" localSheetId="1" hidden="1">{"EXCELHLP.HLP!1802";5;10;5;10;13;13;13;8;5;5;10;14;13;13;13;13;5;10;14;13;5;10;1;2;24}</definedName>
    <definedName name="pig_dog\" hidden="1">{"EXCELHLP.HLP!1802";5;10;5;10;13;13;13;8;5;5;10;14;13;13;13;13;5;10;14;13;5;10;1;2;24}</definedName>
    <definedName name="pig_dog2" localSheetId="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1" hidden="1">{#N/A,#N/A,FALSE,"SUMMARY";#N/A,#N/A,FALSE,"INPUTDATA";#N/A,#N/A,FALSE,"Condenser Performance"}</definedName>
    <definedName name="pig_dog4" hidden="1">{#N/A,#N/A,FALSE,"SUMMARY";#N/A,#N/A,FALSE,"INPUTDATA";#N/A,#N/A,FALSE,"Condenser Performance"}</definedName>
    <definedName name="pig_dog6" localSheetId="1" hidden="1">{#N/A,#N/A,FALSE,"INPUTDATA";#N/A,#N/A,FALSE,"SUMMARY";#N/A,#N/A,FALSE,"CTAREP";#N/A,#N/A,FALSE,"CTBREP";#N/A,#N/A,FALSE,"TURBEFF";#N/A,#N/A,FALSE,"Condenser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localSheetId="1" hidden="1">{#N/A,#N/A,FALSE,"INPUTDATA";#N/A,#N/A,FALSE,"SUMMARY"}</definedName>
    <definedName name="pig_dog7" hidden="1">{#N/A,#N/A,FALSE,"INPUTDATA";#N/A,#N/A,FALSE,"SUMMARY"}</definedName>
    <definedName name="pig_dog8" localSheetId="1" hidden="1">{#N/A,#N/A,FALSE,"INPUTDATA";#N/A,#N/A,FALSE,"SUMMARY";#N/A,#N/A,FALSE,"CTAREP";#N/A,#N/A,FALSE,"CTBREP";#N/A,#N/A,FALSE,"PMG4ST86";#N/A,#N/A,FALSE,"TURBEFF";#N/A,#N/A,FALSE,"Condenser Performance"}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_xlnm.Print_Area" localSheetId="0">'2012 AR - Solar'!$A$1:$J$219</definedName>
    <definedName name="_xlnm.Print_Titles" localSheetId="1">'2012 Actuals'!$1:$7</definedName>
    <definedName name="_xlnm.Print_Titles" localSheetId="0">'2012 AR - Solar'!$1:$7</definedName>
    <definedName name="qqq" localSheetId="1" hidden="1">{"Martin Oct94_Mar95",#N/A,FALSE,"Martin Oct94 - Mar95"}</definedName>
    <definedName name="qqq" hidden="1">{"Martin Oct94_Mar95",#N/A,FALSE,"Martin Oct94 - Mar95"}</definedName>
    <definedName name="SAPBEXrevision" hidden="1">0</definedName>
    <definedName name="SAPBEXsysID" hidden="1">"GP1"</definedName>
    <definedName name="SAPBEXwbID" hidden="1">"46LDQNV2IHU1FSMPIOM9WP8FN"</definedName>
    <definedName name="Temp1" localSheetId="1" hidden="1">{"EXCELHLP.HLP!1802";5;10;5;10;13;13;13;8;5;5;10;14;13;13;13;13;5;10;14;13;5;10;1;2;24}</definedName>
    <definedName name="Temp1" hidden="1">{"EXCELHLP.HLP!1802";5;10;5;10;13;13;13;8;5;5;10;14;13;13;13;13;5;10;14;13;5;10;1;2;24}</definedName>
    <definedName name="temp2" localSheetId="1" hidden="1">{2;#N/A;"R13C16:R17C16";#N/A;"R13C14:R17C15";FALSE;FALSE;FALSE;95;#N/A;#N/A;"R13C19";#N/A;FALSE;FALSE;FALSE;FALSE;#N/A;"";#N/A;FALSE;"";"";#N/A;#N/A;#N/A}</definedName>
    <definedName name="temp2" hidden="1">{2;#N/A;"R13C16:R17C16";#N/A;"R13C14:R17C15";FALSE;FALSE;FALSE;95;#N/A;#N/A;"R13C19";#N/A;FALSE;FALSE;FALSE;FALSE;#N/A;"";#N/A;FALSE;"";"";#N/A;#N/A;#N/A}</definedName>
    <definedName name="temp3" localSheetId="1" hidden="1">{"EXCELHLP.HLP!1802";5;10;5;10;13;13;13;8;5;5;10;14;13;13;13;13;5;10;14;13;5;10;1;2;24}</definedName>
    <definedName name="temp3" hidden="1">{"EXCELHLP.HLP!1802";5;10;5;10;13;13;13;8;5;5;10;14;13;13;13;13;5;10;14;13;5;10;1;2;24}</definedName>
    <definedName name="temp4" localSheetId="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5" localSheetId="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mp5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ACTUAL._.ALL._.PAGES." localSheetId="1" hidden="1">{"ACTUAL",#N/A,FALSE,"OVER_UND"}</definedName>
    <definedName name="wrn.ACTUAL._.ALL._.PAGES." hidden="1">{"ACTUAL",#N/A,FALSE,"OVER_UND"}</definedName>
    <definedName name="wrn.ALL." localSheetId="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1" hidden="1">{"APAGE1",#N/A,FALSE,"JAN95_OU"}</definedName>
    <definedName name="wrn.APAGE1." hidden="1">{"APAGE1",#N/A,FALSE,"JAN95_OU"}</definedName>
    <definedName name="wrn.APAGE2." localSheetId="1" hidden="1">{"APAGE2",#N/A,FALSE,"JAN95_OU"}</definedName>
    <definedName name="wrn.APAGE2." hidden="1">{"APAGE2",#N/A,FALSE,"JAN95_OU"}</definedName>
    <definedName name="wrn.APAGE3." localSheetId="1" hidden="1">{"APAGE3",#N/A,FALSE,"JAN95_OU"}</definedName>
    <definedName name="wrn.APAGE3." hidden="1">{"APAGE3",#N/A,FALSE,"JAN95_OU"}</definedName>
    <definedName name="wrn.Apr94_Sep95." localSheetId="1" hidden="1">{"Apr95_Sep95",#N/A,FALSE,"Actual Estimt (Apr 95 - Sep 95)"}</definedName>
    <definedName name="wrn.Apr94_Sep95." hidden="1">{"Apr95_Sep95",#N/A,FALSE,"Actual Estimt (Apr 95 - Sep 95)"}</definedName>
    <definedName name="wrn.Apr95_Sep95." localSheetId="1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localSheetId="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1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ST." localSheetId="1" hidden="1">{#N/A,#N/A,FALSE,"T COST";#N/A,#N/A,FALSE,"COST_FH"}</definedName>
    <definedName name="wrn.COST." hidden="1">{#N/A,#N/A,FALSE,"T COST";#N/A,#N/A,FALSE,"COST_FH"}</definedName>
    <definedName name="wrn.Engr._.Summary." localSheetId="1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localSheetId="1" hidden="1">{#N/A,#N/A,FALSE,"INPUTDATA";#N/A,#N/A,FALSE,"SUMMARY"}</definedName>
    <definedName name="wrn.Exec._.Summary." hidden="1">{#N/A,#N/A,FALSE,"INPUTDATA";#N/A,#N/A,FALSE,"SUMMARY"}</definedName>
    <definedName name="wrn.Laud._.Apr94._.Sep94." localSheetId="1" hidden="1">{"Apr94_Sep94",#N/A,FALSE,"Apr 94 - Sep 94"}</definedName>
    <definedName name="wrn.Laud._.Apr94._.Sep94." hidden="1">{"Apr94_Sep94",#N/A,FALSE,"Apr 94 - Sep 94"}</definedName>
    <definedName name="wrn.Laud._.Apr95._.Sep95." localSheetId="1" hidden="1">{"Apr95_Sep95",#N/A,FALSE,"Apr 95 - Sep 95"}</definedName>
    <definedName name="wrn.Laud._.Apr95._.Sep95." hidden="1">{"Apr95_Sep95",#N/A,FALSE,"Apr 95 - Sep 95"}</definedName>
    <definedName name="wrn.Laud._.Oct93._.Mar94." localSheetId="1" hidden="1">{"Oct93_Mar94",#N/A,FALSE,"Oct 93 - Mar 94"}</definedName>
    <definedName name="wrn.Laud._.Oct93._.Mar94." hidden="1">{"Oct93_Mar94",#N/A,FALSE,"Oct 93 - Mar 94"}</definedName>
    <definedName name="wrn.Laud._.Oct94._.Mar95." localSheetId="1" hidden="1">{"Oct94_Mar95",#N/A,FALSE,"Oct 94 - Mar 95"}</definedName>
    <definedName name="wrn.Laud._.Oct94._.Mar95." hidden="1">{"Oct94_Mar95",#N/A,FALSE,"Oct 94 - Mar 95"}</definedName>
    <definedName name="wrn.Laud._.Oct95._.Mar96." localSheetId="1" hidden="1">{"Oct95_Mar96",#N/A,FALSE,"Oct 95 - Mar 96"}</definedName>
    <definedName name="wrn.Laud._.Oct95._.Mar96." hidden="1">{"Oct95_Mar96",#N/A,FALSE,"Oct 95 - Mar 96"}</definedName>
    <definedName name="wrn.Martin._.Apr94_Sep94." localSheetId="1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1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1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1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1" hidden="1">{"Martin Oct95_Mar96",#N/A,FALSE,"Martin Oct95 - Mar96"}</definedName>
    <definedName name="wrn.Martin._.Oct95_Mar96." hidden="1">{"Martin Oct95_Mar96",#N/A,FALSE,"Martin Oct95 - Mar96"}</definedName>
    <definedName name="wrn.Oct93_Mar94." localSheetId="1" hidden="1">{"Oct93_Mar94",#N/A,FALSE,"Actuals (Oct 93 - Mar 94)"}</definedName>
    <definedName name="wrn.Oct93_Mar94." hidden="1">{"Oct93_Mar94",#N/A,FALSE,"Actuals (Oct 93 - Mar 94)"}</definedName>
    <definedName name="wrn.Oct94_Mar95." localSheetId="1" hidden="1">{"Oct94_Mar95",#N/A,FALSE,"Actuals (Oct 94 - Mar 95)"}</definedName>
    <definedName name="wrn.Oct94_Mar95." hidden="1">{"Oct94_Mar95",#N/A,FALSE,"Actuals (Oct 94 - Mar 95)"}</definedName>
    <definedName name="wrn.Oct95_Mar96." localSheetId="1" hidden="1">{"Oct95_Mar96",#N/A,FALSE,"Estimates (Oct 95 - Mar 96)"}</definedName>
    <definedName name="wrn.Oct95_Mar96." hidden="1">{"Oct95_Mar96",#N/A,FALSE,"Estimates (Oct 95 - Mar 96)"}</definedName>
    <definedName name="wrn.PPAGE2." localSheetId="1" hidden="1">{"PPAGE2",#N/A,FALSE,"JAN95_OU"}</definedName>
    <definedName name="wrn.PPAGE2." hidden="1">{"PPAGE2",#N/A,FALSE,"JAN95_OU"}</definedName>
    <definedName name="wrn.PPAGE3." localSheetId="1" hidden="1">{"PPAGE3",#N/A,FALSE,"JAN95_OU"}</definedName>
    <definedName name="wrn.PPAGE3." hidden="1">{"PPAGE3",#N/A,FALSE,"JAN95_OU"}</definedName>
    <definedName name="wrn.PRELIMINARY._.ALL._.PAGES." localSheetId="1" hidden="1">{"PRELIMINARY",#N/A,FALSE,"MAR95_OU"}</definedName>
    <definedName name="wrn.PRELIMINARY._.ALL._.PAGES." hidden="1">{"PRELIMINARY",#N/A,FALSE,"MAR95_OU"}</definedName>
    <definedName name="wrn.Scherer._.Apr95_Sep95." localSheetId="1" hidden="1">{"Schr Apr95_Oct95",#N/A,FALSE,"Scherer Apr95-Sep95"}</definedName>
    <definedName name="wrn.Scherer._.Apr95_Sep95." hidden="1">{"Schr Apr95_Oct95",#N/A,FALSE,"Scherer Apr95-Sep95"}</definedName>
    <definedName name="wrn.Scherer._.Oct94_Mar95." localSheetId="1" hidden="1">{"Schr Oct94_Mar95",#N/A,FALSE,"Scherer Oct94-Mar95"}</definedName>
    <definedName name="wrn.Scherer._.Oct94_Mar95." hidden="1">{"Schr Oct94_Mar95",#N/A,FALSE,"Scherer Oct94-Mar95"}</definedName>
    <definedName name="wrn.Scherer._.Oct95_Mar96." localSheetId="1" hidden="1">{"Schr Oct95_Mar96",#N/A,FALSE,"Scherer Oct95-Mar96"}</definedName>
    <definedName name="wrn.Scherer._.Oct95_Mar96." hidden="1">{"Schr Oct95_Mar96",#N/A,FALSE,"Scherer Oct95-Mar96"}</definedName>
    <definedName name="wrn.SUM._.OF._.UNIT._.3." localSheetId="1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x" localSheetId="1" hidden="1">{#N/A,#N/A,FALSE,"INPUTDATA";#N/A,#N/A,FALSE,"SUMMARY"}</definedName>
    <definedName name="x" hidden="1">{#N/A,#N/A,FALSE,"INPUTDATA";#N/A,#N/A,FALSE,"SUMMARY"}</definedName>
  </definedNames>
  <calcPr calcId="145621"/>
</workbook>
</file>

<file path=xl/calcChain.xml><?xml version="1.0" encoding="utf-8"?>
<calcChain xmlns="http://schemas.openxmlformats.org/spreadsheetml/2006/main">
  <c r="E99" i="11" l="1"/>
  <c r="F99" i="11"/>
  <c r="Q99" i="11" s="1"/>
  <c r="G99" i="11"/>
  <c r="H99" i="11"/>
  <c r="I99" i="11"/>
  <c r="J99" i="11"/>
  <c r="K99" i="11"/>
  <c r="L99" i="11"/>
  <c r="M99" i="11"/>
  <c r="N99" i="11"/>
  <c r="O99" i="11"/>
  <c r="P99" i="11"/>
  <c r="F100" i="11"/>
  <c r="H100" i="11"/>
  <c r="I100" i="11"/>
  <c r="J100" i="11"/>
  <c r="K100" i="11"/>
  <c r="L100" i="11"/>
  <c r="M100" i="11"/>
  <c r="N100" i="11"/>
  <c r="O100" i="11"/>
  <c r="F101" i="11"/>
  <c r="G101" i="11"/>
  <c r="H101" i="11"/>
  <c r="I101" i="11"/>
  <c r="J101" i="11"/>
  <c r="K101" i="11"/>
  <c r="L101" i="11"/>
  <c r="M101" i="11"/>
  <c r="N101" i="11"/>
  <c r="O101" i="11"/>
  <c r="P101" i="11"/>
  <c r="E100" i="11"/>
  <c r="E101" i="11"/>
  <c r="Q101" i="11" l="1"/>
  <c r="G34" i="3" l="1"/>
  <c r="F34" i="3"/>
  <c r="E34" i="3"/>
  <c r="D34" i="3"/>
  <c r="C34" i="3"/>
  <c r="B34" i="3"/>
  <c r="G28" i="11" l="1"/>
  <c r="F128" i="1"/>
  <c r="E13" i="3" s="1"/>
  <c r="F163" i="1"/>
  <c r="F13" i="3" s="1"/>
  <c r="F92" i="1"/>
  <c r="N99" i="1" s="1"/>
  <c r="F57" i="1"/>
  <c r="F21" i="1"/>
  <c r="N28" i="1" s="1"/>
  <c r="D216" i="1"/>
  <c r="D180" i="1"/>
  <c r="D145" i="1"/>
  <c r="D109" i="1"/>
  <c r="D74" i="1"/>
  <c r="D38" i="1"/>
  <c r="P33" i="11"/>
  <c r="P23" i="11"/>
  <c r="P19" i="11"/>
  <c r="P18" i="11"/>
  <c r="P13" i="11"/>
  <c r="G13" i="3"/>
  <c r="Q12" i="11"/>
  <c r="F32" i="1" s="1"/>
  <c r="M32" i="1" s="1"/>
  <c r="D32" i="1" s="1"/>
  <c r="G56" i="1"/>
  <c r="H56" i="1" s="1"/>
  <c r="E53" i="11"/>
  <c r="P79" i="11"/>
  <c r="O79" i="11"/>
  <c r="N79" i="11"/>
  <c r="M79" i="11"/>
  <c r="L79" i="11"/>
  <c r="K79" i="11"/>
  <c r="J79" i="11"/>
  <c r="I79" i="11"/>
  <c r="H79" i="11"/>
  <c r="G79" i="11"/>
  <c r="F79" i="11"/>
  <c r="Q79" i="11" s="1"/>
  <c r="E79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E92" i="11" s="1"/>
  <c r="O73" i="11"/>
  <c r="N73" i="11"/>
  <c r="M73" i="11"/>
  <c r="L73" i="11"/>
  <c r="K73" i="11"/>
  <c r="J73" i="11"/>
  <c r="I73" i="11"/>
  <c r="H73" i="11"/>
  <c r="F73" i="11"/>
  <c r="E73" i="11"/>
  <c r="P72" i="11"/>
  <c r="O72" i="11"/>
  <c r="N72" i="11"/>
  <c r="M72" i="11"/>
  <c r="L72" i="11"/>
  <c r="K72" i="11"/>
  <c r="J72" i="11"/>
  <c r="I72" i="11"/>
  <c r="H72" i="11"/>
  <c r="G72" i="11"/>
  <c r="F72" i="11"/>
  <c r="Q72" i="11" s="1"/>
  <c r="G174" i="1" s="1"/>
  <c r="E72" i="11"/>
  <c r="P69" i="11"/>
  <c r="O69" i="11"/>
  <c r="N69" i="11"/>
  <c r="M69" i="11"/>
  <c r="L69" i="11"/>
  <c r="L92" i="11" s="1"/>
  <c r="K69" i="11"/>
  <c r="J69" i="11"/>
  <c r="J92" i="11" s="1"/>
  <c r="I69" i="11"/>
  <c r="H69" i="11"/>
  <c r="H92" i="11" s="1"/>
  <c r="G69" i="11"/>
  <c r="F69" i="11"/>
  <c r="F92" i="11" s="1"/>
  <c r="E69" i="11"/>
  <c r="P68" i="11"/>
  <c r="O68" i="11"/>
  <c r="N68" i="11"/>
  <c r="N91" i="11"/>
  <c r="M68" i="11"/>
  <c r="L68" i="11"/>
  <c r="K68" i="11"/>
  <c r="J68" i="11"/>
  <c r="I68" i="11"/>
  <c r="H68" i="11"/>
  <c r="H91" i="11" s="1"/>
  <c r="F68" i="11"/>
  <c r="E68" i="11"/>
  <c r="P67" i="11"/>
  <c r="P90" i="11" s="1"/>
  <c r="O67" i="11"/>
  <c r="O90" i="11" s="1"/>
  <c r="N67" i="11"/>
  <c r="M67" i="11"/>
  <c r="L67" i="11"/>
  <c r="K67" i="11"/>
  <c r="J67" i="11"/>
  <c r="I67" i="11"/>
  <c r="H67" i="11"/>
  <c r="H90" i="11" s="1"/>
  <c r="G67" i="11"/>
  <c r="F67" i="11"/>
  <c r="E67" i="11"/>
  <c r="E90" i="11" s="1"/>
  <c r="P64" i="11"/>
  <c r="O64" i="11"/>
  <c r="N64" i="11"/>
  <c r="M64" i="11"/>
  <c r="L64" i="11"/>
  <c r="K64" i="11"/>
  <c r="J64" i="11"/>
  <c r="I64" i="11"/>
  <c r="H64" i="11"/>
  <c r="G64" i="11"/>
  <c r="F64" i="11"/>
  <c r="E64" i="11"/>
  <c r="P63" i="11"/>
  <c r="O63" i="11"/>
  <c r="N63" i="11"/>
  <c r="M63" i="11"/>
  <c r="L63" i="11"/>
  <c r="K63" i="11"/>
  <c r="J63" i="11"/>
  <c r="I63" i="11"/>
  <c r="H63" i="11"/>
  <c r="F63" i="11"/>
  <c r="E63" i="11"/>
  <c r="P62" i="11"/>
  <c r="O62" i="11"/>
  <c r="N62" i="11"/>
  <c r="M62" i="11"/>
  <c r="L62" i="11"/>
  <c r="K62" i="11"/>
  <c r="J62" i="11"/>
  <c r="I62" i="11"/>
  <c r="H62" i="11"/>
  <c r="G62" i="11"/>
  <c r="F62" i="11"/>
  <c r="E62" i="11"/>
  <c r="P59" i="11"/>
  <c r="O59" i="11"/>
  <c r="N59" i="11"/>
  <c r="M59" i="11"/>
  <c r="L59" i="11"/>
  <c r="K59" i="11"/>
  <c r="J59" i="11"/>
  <c r="I59" i="11"/>
  <c r="H59" i="11"/>
  <c r="G59" i="11"/>
  <c r="G88" i="11" s="1"/>
  <c r="F59" i="11"/>
  <c r="E59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P54" i="11"/>
  <c r="O54" i="11"/>
  <c r="N54" i="11"/>
  <c r="N88" i="11"/>
  <c r="M54" i="11"/>
  <c r="L54" i="11"/>
  <c r="L88" i="11" s="1"/>
  <c r="L96" i="11" s="1"/>
  <c r="K54" i="11"/>
  <c r="J54" i="11"/>
  <c r="I54" i="11"/>
  <c r="H54" i="11"/>
  <c r="G54" i="11"/>
  <c r="F54" i="11"/>
  <c r="E54" i="11"/>
  <c r="P53" i="11"/>
  <c r="O53" i="11"/>
  <c r="N53" i="11"/>
  <c r="N87" i="11" s="1"/>
  <c r="N95" i="11" s="1"/>
  <c r="M53" i="11"/>
  <c r="L53" i="11"/>
  <c r="K53" i="11"/>
  <c r="J53" i="11"/>
  <c r="J87" i="11" s="1"/>
  <c r="I53" i="11"/>
  <c r="H53" i="11"/>
  <c r="F53" i="11"/>
  <c r="F87" i="11" s="1"/>
  <c r="P52" i="11"/>
  <c r="O52" i="11"/>
  <c r="N52" i="11"/>
  <c r="M52" i="11"/>
  <c r="M86" i="11" s="1"/>
  <c r="L52" i="11"/>
  <c r="L86" i="11" s="1"/>
  <c r="L94" i="11" s="1"/>
  <c r="K52" i="11"/>
  <c r="J52" i="11"/>
  <c r="J86" i="11" s="1"/>
  <c r="I52" i="11"/>
  <c r="H52" i="11"/>
  <c r="H86" i="11" s="1"/>
  <c r="G52" i="11"/>
  <c r="F52" i="11"/>
  <c r="E52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P43" i="11"/>
  <c r="O43" i="11"/>
  <c r="N43" i="11"/>
  <c r="M43" i="11"/>
  <c r="L43" i="11"/>
  <c r="K43" i="11"/>
  <c r="J43" i="11"/>
  <c r="I43" i="11"/>
  <c r="H43" i="11"/>
  <c r="F43" i="11"/>
  <c r="E43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Q39" i="11"/>
  <c r="Q38" i="11"/>
  <c r="Q37" i="11"/>
  <c r="Q34" i="11"/>
  <c r="F175" i="1" s="1"/>
  <c r="G33" i="11"/>
  <c r="G73" i="11" s="1"/>
  <c r="Q32" i="11"/>
  <c r="F174" i="1" s="1"/>
  <c r="Q29" i="11"/>
  <c r="G68" i="11"/>
  <c r="Q27" i="11"/>
  <c r="F103" i="1" s="1"/>
  <c r="Q24" i="11"/>
  <c r="F140" i="1" s="1"/>
  <c r="G23" i="11"/>
  <c r="Q23" i="11"/>
  <c r="Q22" i="11"/>
  <c r="Q19" i="11"/>
  <c r="F69" i="1" s="1"/>
  <c r="Q18" i="11"/>
  <c r="F70" i="1" s="1"/>
  <c r="Q17" i="11"/>
  <c r="F68" i="1"/>
  <c r="Q14" i="11"/>
  <c r="F33" i="1" s="1"/>
  <c r="G13" i="11"/>
  <c r="N83" i="11"/>
  <c r="I90" i="11"/>
  <c r="M90" i="11"/>
  <c r="J91" i="11"/>
  <c r="L90" i="11"/>
  <c r="I92" i="11"/>
  <c r="Q64" i="11"/>
  <c r="G140" i="1" s="1"/>
  <c r="G63" i="11"/>
  <c r="Q28" i="11"/>
  <c r="F105" i="1" s="1"/>
  <c r="Q33" i="11"/>
  <c r="F176" i="1" s="1"/>
  <c r="G43" i="11"/>
  <c r="J83" i="11"/>
  <c r="K88" i="11"/>
  <c r="E83" i="11"/>
  <c r="E82" i="11"/>
  <c r="C199" i="1"/>
  <c r="C200" i="1" s="1"/>
  <c r="C201" i="1" s="1"/>
  <c r="D91" i="1"/>
  <c r="C92" i="1" s="1"/>
  <c r="D92" i="1"/>
  <c r="D93" i="1" s="1"/>
  <c r="G197" i="1"/>
  <c r="I197" i="1" s="1"/>
  <c r="G161" i="1"/>
  <c r="I161" i="1" s="1"/>
  <c r="D198" i="1"/>
  <c r="E198" i="1" s="1"/>
  <c r="D199" i="1"/>
  <c r="D200" i="1" s="1"/>
  <c r="D20" i="1"/>
  <c r="C21" i="1" s="1"/>
  <c r="D162" i="1"/>
  <c r="C163" i="1" s="1"/>
  <c r="C162" i="1"/>
  <c r="C161" i="1"/>
  <c r="E161" i="1" s="1"/>
  <c r="D127" i="1"/>
  <c r="D128" i="1" s="1"/>
  <c r="C127" i="1"/>
  <c r="C126" i="1"/>
  <c r="H126" i="1" s="1"/>
  <c r="C91" i="1"/>
  <c r="C90" i="1"/>
  <c r="E90" i="1" s="1"/>
  <c r="D56" i="1"/>
  <c r="D57" i="1" s="1"/>
  <c r="D58" i="1" s="1"/>
  <c r="D59" i="1" s="1"/>
  <c r="E59" i="1" s="1"/>
  <c r="C20" i="1"/>
  <c r="D163" i="1"/>
  <c r="C164" i="1" s="1"/>
  <c r="G18" i="3"/>
  <c r="G19" i="3"/>
  <c r="G20" i="3"/>
  <c r="G17" i="3"/>
  <c r="F18" i="3"/>
  <c r="F19" i="3"/>
  <c r="F20" i="3"/>
  <c r="F17" i="3"/>
  <c r="E18" i="3"/>
  <c r="E19" i="3"/>
  <c r="E20" i="3"/>
  <c r="E17" i="3"/>
  <c r="D18" i="3"/>
  <c r="D19" i="3"/>
  <c r="D20" i="3"/>
  <c r="D17" i="3"/>
  <c r="C18" i="3"/>
  <c r="C19" i="3"/>
  <c r="C20" i="3"/>
  <c r="B18" i="3"/>
  <c r="B19" i="3"/>
  <c r="B20" i="3"/>
  <c r="B17" i="3"/>
  <c r="E55" i="1"/>
  <c r="C190" i="1"/>
  <c r="C154" i="1"/>
  <c r="C119" i="1"/>
  <c r="C83" i="1"/>
  <c r="C48" i="1"/>
  <c r="G198" i="1"/>
  <c r="H198" i="1" s="1"/>
  <c r="E197" i="1"/>
  <c r="G127" i="1"/>
  <c r="G126" i="1"/>
  <c r="E126" i="1"/>
  <c r="G90" i="1"/>
  <c r="H90" i="1" s="1"/>
  <c r="I90" i="1"/>
  <c r="G55" i="1"/>
  <c r="G20" i="1"/>
  <c r="G19" i="1"/>
  <c r="H19" i="1" s="1"/>
  <c r="E19" i="1"/>
  <c r="J44" i="1"/>
  <c r="J79" i="1" s="1"/>
  <c r="J115" i="1" s="1"/>
  <c r="J150" i="1" s="1"/>
  <c r="J186" i="1" s="1"/>
  <c r="G162" i="1"/>
  <c r="G91" i="1"/>
  <c r="H91" i="1" s="1"/>
  <c r="I20" i="1"/>
  <c r="I126" i="1"/>
  <c r="H161" i="1"/>
  <c r="C17" i="3"/>
  <c r="F141" i="1"/>
  <c r="N86" i="11"/>
  <c r="G21" i="1" l="1"/>
  <c r="H21" i="1" s="1"/>
  <c r="B13" i="3"/>
  <c r="D144" i="1"/>
  <c r="D37" i="1"/>
  <c r="D73" i="1"/>
  <c r="D129" i="1"/>
  <c r="E162" i="1"/>
  <c r="C128" i="1"/>
  <c r="E128" i="1" s="1"/>
  <c r="H197" i="1"/>
  <c r="I91" i="1"/>
  <c r="E20" i="1"/>
  <c r="D21" i="1"/>
  <c r="D22" i="1" s="1"/>
  <c r="D23" i="1" s="1"/>
  <c r="E127" i="1"/>
  <c r="E140" i="1"/>
  <c r="D140" i="1"/>
  <c r="D174" i="1"/>
  <c r="E174" i="1"/>
  <c r="I198" i="1"/>
  <c r="D13" i="3"/>
  <c r="D108" i="1"/>
  <c r="E91" i="1"/>
  <c r="E57" i="1"/>
  <c r="D179" i="1"/>
  <c r="D176" i="1"/>
  <c r="I56" i="1"/>
  <c r="C22" i="1"/>
  <c r="E22" i="1" s="1"/>
  <c r="E56" i="1"/>
  <c r="G163" i="1"/>
  <c r="H163" i="1" s="1"/>
  <c r="G92" i="1"/>
  <c r="H92" i="1" s="1"/>
  <c r="G199" i="1"/>
  <c r="E92" i="1"/>
  <c r="C129" i="1"/>
  <c r="D175" i="1"/>
  <c r="P86" i="11"/>
  <c r="P94" i="11" s="1"/>
  <c r="P82" i="11"/>
  <c r="I19" i="1"/>
  <c r="O91" i="11"/>
  <c r="P100" i="11"/>
  <c r="P73" i="11"/>
  <c r="E163" i="1"/>
  <c r="E199" i="1"/>
  <c r="D164" i="1"/>
  <c r="E164" i="1" s="1"/>
  <c r="H20" i="1"/>
  <c r="P91" i="11"/>
  <c r="J84" i="11"/>
  <c r="L82" i="11"/>
  <c r="G53" i="11"/>
  <c r="G87" i="11" s="1"/>
  <c r="Q13" i="11"/>
  <c r="M94" i="11"/>
  <c r="J95" i="11"/>
  <c r="P88" i="11"/>
  <c r="O92" i="11"/>
  <c r="L91" i="11"/>
  <c r="K87" i="11"/>
  <c r="Q57" i="11"/>
  <c r="G68" i="1" s="1"/>
  <c r="E68" i="1" s="1"/>
  <c r="Q58" i="11"/>
  <c r="G70" i="1" s="1"/>
  <c r="E70" i="1" s="1"/>
  <c r="Q62" i="11"/>
  <c r="G139" i="1" s="1"/>
  <c r="E139" i="1" s="1"/>
  <c r="Q63" i="11"/>
  <c r="G141" i="1" s="1"/>
  <c r="E141" i="1" s="1"/>
  <c r="N84" i="11"/>
  <c r="I91" i="11"/>
  <c r="M91" i="11"/>
  <c r="L84" i="11"/>
  <c r="G100" i="11"/>
  <c r="G82" i="11"/>
  <c r="K86" i="11"/>
  <c r="G90" i="11"/>
  <c r="M92" i="11"/>
  <c r="N92" i="11"/>
  <c r="N82" i="11"/>
  <c r="G86" i="11"/>
  <c r="M82" i="11"/>
  <c r="M112" i="1"/>
  <c r="M105" i="1"/>
  <c r="D105" i="1" s="1"/>
  <c r="M110" i="1"/>
  <c r="M103" i="1"/>
  <c r="D103" i="1" s="1"/>
  <c r="M39" i="1"/>
  <c r="M33" i="1"/>
  <c r="D33" i="1" s="1"/>
  <c r="M40" i="1"/>
  <c r="F104" i="1"/>
  <c r="G26" i="3"/>
  <c r="G14" i="3" s="1"/>
  <c r="G29" i="3" s="1"/>
  <c r="G31" i="3" s="1"/>
  <c r="D217" i="1" s="1"/>
  <c r="C26" i="3"/>
  <c r="D26" i="3"/>
  <c r="I55" i="1"/>
  <c r="H55" i="1"/>
  <c r="O88" i="11"/>
  <c r="O96" i="11" s="1"/>
  <c r="O84" i="11"/>
  <c r="C94" i="1"/>
  <c r="D94" i="1"/>
  <c r="F86" i="11"/>
  <c r="Q52" i="11"/>
  <c r="F82" i="11"/>
  <c r="P87" i="11"/>
  <c r="P95" i="11" s="1"/>
  <c r="P83" i="11"/>
  <c r="H84" i="11"/>
  <c r="H88" i="11"/>
  <c r="H96" i="11" s="1"/>
  <c r="K90" i="11"/>
  <c r="K94" i="11" s="1"/>
  <c r="K82" i="11"/>
  <c r="K91" i="11"/>
  <c r="K83" i="11"/>
  <c r="Q78" i="11"/>
  <c r="E91" i="11"/>
  <c r="P92" i="11"/>
  <c r="P84" i="11"/>
  <c r="Q53" i="11"/>
  <c r="G91" i="11"/>
  <c r="G95" i="11" s="1"/>
  <c r="I21" i="1"/>
  <c r="H82" i="11"/>
  <c r="E87" i="11"/>
  <c r="Q77" i="11"/>
  <c r="I162" i="1"/>
  <c r="H162" i="1"/>
  <c r="D130" i="1"/>
  <c r="C130" i="1"/>
  <c r="E129" i="1"/>
  <c r="H83" i="11"/>
  <c r="H87" i="11"/>
  <c r="H95" i="11" s="1"/>
  <c r="L83" i="11"/>
  <c r="L87" i="11"/>
  <c r="L95" i="11" s="1"/>
  <c r="O87" i="11"/>
  <c r="O95" i="11" s="1"/>
  <c r="O83" i="11"/>
  <c r="I83" i="11"/>
  <c r="I87" i="11"/>
  <c r="M87" i="11"/>
  <c r="M95" i="11" s="1"/>
  <c r="M83" i="11"/>
  <c r="Q59" i="11"/>
  <c r="G69" i="1" s="1"/>
  <c r="E69" i="1" s="1"/>
  <c r="E84" i="11"/>
  <c r="E88" i="11"/>
  <c r="I88" i="11"/>
  <c r="I96" i="11" s="1"/>
  <c r="I84" i="11"/>
  <c r="M84" i="11"/>
  <c r="M88" i="11"/>
  <c r="F90" i="11"/>
  <c r="Q90" i="11" s="1"/>
  <c r="Q67" i="11"/>
  <c r="G103" i="1" s="1"/>
  <c r="K92" i="11"/>
  <c r="K84" i="11"/>
  <c r="E58" i="1"/>
  <c r="F26" i="3"/>
  <c r="F14" i="3" s="1"/>
  <c r="F29" i="3" s="1"/>
  <c r="F31" i="3" s="1"/>
  <c r="D181" i="1" s="1"/>
  <c r="C93" i="1"/>
  <c r="E93" i="1" s="1"/>
  <c r="K96" i="11"/>
  <c r="H94" i="11"/>
  <c r="N96" i="11"/>
  <c r="N90" i="11"/>
  <c r="N94" i="11" s="1"/>
  <c r="I163" i="1"/>
  <c r="I86" i="11"/>
  <c r="I94" i="11" s="1"/>
  <c r="I82" i="11"/>
  <c r="G128" i="1"/>
  <c r="H127" i="1"/>
  <c r="I127" i="1"/>
  <c r="D165" i="1"/>
  <c r="C165" i="1"/>
  <c r="D201" i="1"/>
  <c r="E201" i="1" s="1"/>
  <c r="E200" i="1"/>
  <c r="F139" i="1"/>
  <c r="D139" i="1" s="1"/>
  <c r="Q42" i="11"/>
  <c r="O86" i="11"/>
  <c r="O94" i="11" s="1"/>
  <c r="O82" i="11"/>
  <c r="F88" i="11"/>
  <c r="F96" i="11" s="1"/>
  <c r="F84" i="11"/>
  <c r="Q54" i="11"/>
  <c r="J90" i="11"/>
  <c r="J94" i="11" s="1"/>
  <c r="J82" i="11"/>
  <c r="Q73" i="11"/>
  <c r="G176" i="1" s="1"/>
  <c r="E176" i="1" s="1"/>
  <c r="F83" i="11"/>
  <c r="F91" i="11"/>
  <c r="F95" i="11" s="1"/>
  <c r="Q74" i="11"/>
  <c r="G175" i="1" s="1"/>
  <c r="E175" i="1" s="1"/>
  <c r="G92" i="11"/>
  <c r="G96" i="11" s="1"/>
  <c r="G84" i="11"/>
  <c r="Q68" i="11"/>
  <c r="G105" i="1" s="1"/>
  <c r="Q69" i="11"/>
  <c r="G104" i="1" s="1"/>
  <c r="Q44" i="11"/>
  <c r="E86" i="11"/>
  <c r="K95" i="11"/>
  <c r="J88" i="11"/>
  <c r="J96" i="11" s="1"/>
  <c r="P96" i="11"/>
  <c r="E26" i="3"/>
  <c r="E14" i="3" s="1"/>
  <c r="E29" i="3" s="1"/>
  <c r="E31" i="3" s="1"/>
  <c r="D146" i="1" s="1"/>
  <c r="B26" i="3"/>
  <c r="G57" i="1"/>
  <c r="H57" i="1" s="1"/>
  <c r="C13" i="3"/>
  <c r="D70" i="1"/>
  <c r="D141" i="1"/>
  <c r="D68" i="1"/>
  <c r="D69" i="1"/>
  <c r="B14" i="3" l="1"/>
  <c r="B29" i="3" s="1"/>
  <c r="B31" i="3" s="1"/>
  <c r="D39" i="1" s="1"/>
  <c r="D14" i="3"/>
  <c r="D29" i="3" s="1"/>
  <c r="D31" i="3" s="1"/>
  <c r="D110" i="1" s="1"/>
  <c r="E21" i="1"/>
  <c r="C23" i="1"/>
  <c r="E23" i="1"/>
  <c r="I92" i="1"/>
  <c r="H199" i="1"/>
  <c r="I199" i="1"/>
  <c r="M96" i="11"/>
  <c r="E96" i="11"/>
  <c r="Q96" i="11" s="1"/>
  <c r="Q88" i="11"/>
  <c r="E95" i="11"/>
  <c r="Q87" i="11"/>
  <c r="Q100" i="11"/>
  <c r="F34" i="1"/>
  <c r="Q43" i="11"/>
  <c r="Q92" i="11"/>
  <c r="E94" i="11"/>
  <c r="Q86" i="11"/>
  <c r="I95" i="11"/>
  <c r="E130" i="1"/>
  <c r="Q91" i="11"/>
  <c r="G94" i="11"/>
  <c r="G83" i="11"/>
  <c r="N111" i="1"/>
  <c r="N104" i="1"/>
  <c r="E104" i="1" s="1"/>
  <c r="N112" i="1"/>
  <c r="N105" i="1"/>
  <c r="E105" i="1" s="1"/>
  <c r="N110" i="1"/>
  <c r="N103" i="1"/>
  <c r="E103" i="1" s="1"/>
  <c r="M111" i="1"/>
  <c r="M104" i="1"/>
  <c r="D104" i="1" s="1"/>
  <c r="C14" i="3"/>
  <c r="C29" i="3" s="1"/>
  <c r="C31" i="3" s="1"/>
  <c r="D75" i="1" s="1"/>
  <c r="I57" i="1"/>
  <c r="G33" i="1"/>
  <c r="Q84" i="11"/>
  <c r="E165" i="1"/>
  <c r="F94" i="11"/>
  <c r="E94" i="1"/>
  <c r="H128" i="1"/>
  <c r="I128" i="1"/>
  <c r="Q82" i="11"/>
  <c r="G32" i="1"/>
  <c r="G34" i="1"/>
  <c r="Q83" i="11"/>
  <c r="M41" i="1" l="1"/>
  <c r="M34" i="1"/>
  <c r="D34" i="1" s="1"/>
  <c r="Q94" i="11"/>
  <c r="Q95" i="11"/>
  <c r="N41" i="1"/>
  <c r="N34" i="1"/>
  <c r="E34" i="1" s="1"/>
  <c r="N32" i="1"/>
  <c r="E32" i="1" s="1"/>
  <c r="N39" i="1"/>
  <c r="N33" i="1"/>
  <c r="E33" i="1" s="1"/>
  <c r="N40" i="1"/>
</calcChain>
</file>

<file path=xl/sharedStrings.xml><?xml version="1.0" encoding="utf-8"?>
<sst xmlns="http://schemas.openxmlformats.org/spreadsheetml/2006/main" count="477" uniqueCount="128">
  <si>
    <t>Page</t>
  </si>
  <si>
    <t>Utility:</t>
  </si>
  <si>
    <t>Program Name:</t>
  </si>
  <si>
    <t>Program Start Date:</t>
  </si>
  <si>
    <t>Reporting Period:</t>
  </si>
  <si>
    <t>a</t>
  </si>
  <si>
    <t>b</t>
  </si>
  <si>
    <t>c</t>
  </si>
  <si>
    <t>d</t>
  </si>
  <si>
    <t>e</t>
  </si>
  <si>
    <t>f</t>
  </si>
  <si>
    <t>h</t>
  </si>
  <si>
    <t>i</t>
  </si>
  <si>
    <t>(d/c)</t>
  </si>
  <si>
    <t>(g/c)</t>
  </si>
  <si>
    <t>(g-d)</t>
  </si>
  <si>
    <t>Year</t>
  </si>
  <si>
    <t>@ Meter</t>
  </si>
  <si>
    <t>@ Generator</t>
  </si>
  <si>
    <t>May 2011</t>
  </si>
  <si>
    <t>Florida Power &amp; Light Company</t>
  </si>
  <si>
    <t>Projected</t>
  </si>
  <si>
    <t>Actual</t>
  </si>
  <si>
    <t>Total Number of Customers</t>
  </si>
  <si>
    <t>Total Number of Eligible Customers</t>
  </si>
  <si>
    <t>Cumulative Number of Program Participants</t>
  </si>
  <si>
    <t>Cumulative Penetration Level %</t>
  </si>
  <si>
    <t>Annual Number of Program Participants</t>
  </si>
  <si>
    <t xml:space="preserve">DEMAND-SIDE MANAGEMENT ANNUAL REPORT </t>
  </si>
  <si>
    <t>Summer kW Reduction</t>
  </si>
  <si>
    <t>Winter kW Reduction</t>
  </si>
  <si>
    <t>g</t>
  </si>
  <si>
    <t>kWh Reduction</t>
  </si>
  <si>
    <t xml:space="preserve">Per Installation </t>
  </si>
  <si>
    <t>Program Total</t>
  </si>
  <si>
    <t>Total Utility Program Cost ($000)</t>
  </si>
  <si>
    <t>Net Benefits ($000)</t>
  </si>
  <si>
    <t xml:space="preserve">N/A </t>
  </si>
  <si>
    <t>Utility Cost per Installation</t>
  </si>
  <si>
    <r>
      <t>(1)</t>
    </r>
    <r>
      <rPr>
        <sz val="10"/>
        <rFont val="Arial"/>
        <family val="2"/>
      </rPr>
      <t xml:space="preserve"> Pilot, as approved by Commission in Order No. PSC-11-0079-PAA-EG, ends December 2014</t>
    </r>
  </si>
  <si>
    <r>
      <t xml:space="preserve">Cumulative Number of Program Participants </t>
    </r>
    <r>
      <rPr>
        <vertAlign val="superscript"/>
        <sz val="10"/>
        <rFont val="Arial"/>
        <family val="2"/>
      </rPr>
      <t>(1)</t>
    </r>
  </si>
  <si>
    <t>SUMMARY OF NPV NET BENEFITS INSTALLED - BASED ON TOTAL PROGRAM LIFE</t>
  </si>
  <si>
    <t>This report reflects RIM NPV per Alternate Plan Filed March 25, 2011</t>
  </si>
  <si>
    <t>Rs. SWH</t>
  </si>
  <si>
    <t>Rs. SWH LI</t>
  </si>
  <si>
    <t>Bs. SWH</t>
  </si>
  <si>
    <t>Rs. PV</t>
  </si>
  <si>
    <t>Bs. PV</t>
  </si>
  <si>
    <t>Bs. PV Sch</t>
  </si>
  <si>
    <t>NPV is calculated based on program life.</t>
  </si>
  <si>
    <t>Business Solar Water Heating Pilot</t>
  </si>
  <si>
    <t>Res. Solar Water Heating (LINC) Pilot</t>
  </si>
  <si>
    <t>Total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</si>
  <si>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</si>
  <si>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</si>
  <si>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</si>
  <si>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</si>
  <si>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</si>
  <si>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</si>
  <si>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</si>
  <si>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</si>
  <si>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 xml:space="preserve">Cumulative Participation Over (Under) Projected Participants </t>
  </si>
  <si>
    <t>GWh</t>
  </si>
  <si>
    <t>Oct</t>
  </si>
  <si>
    <t>Nov</t>
  </si>
  <si>
    <t>Dec</t>
  </si>
  <si>
    <t xml:space="preserve">  ACTUALS AT THE METER (see below for generator)</t>
  </si>
  <si>
    <t xml:space="preserve">  2012 ACTUALS</t>
  </si>
  <si>
    <t>INPUT</t>
  </si>
  <si>
    <t>Program</t>
  </si>
  <si>
    <t>Sept</t>
  </si>
  <si>
    <t>Res. Solar WH Pilot</t>
  </si>
  <si>
    <t>summer kW - Total</t>
  </si>
  <si>
    <t>GWh - Total</t>
  </si>
  <si>
    <t>winter kW - Total</t>
  </si>
  <si>
    <t>Res. Solar Low Inc. Pilot</t>
  </si>
  <si>
    <t>summer kW</t>
  </si>
  <si>
    <t>winter kW</t>
  </si>
  <si>
    <t>Res. Photovoltaic Pilot</t>
  </si>
  <si>
    <t>Bus. Solar WH Pilot</t>
  </si>
  <si>
    <t>Bus. Photovoltaic Pilot</t>
  </si>
  <si>
    <t>Bus. PV for Schools Pilot</t>
  </si>
  <si>
    <t>kW Line Loss Factor</t>
  </si>
  <si>
    <t>kWh Line Loss Factor</t>
  </si>
  <si>
    <t xml:space="preserve">  AT THE GENERATOR</t>
  </si>
  <si>
    <t xml:space="preserve">  2012 Actuals</t>
  </si>
  <si>
    <t>Total Residential</t>
  </si>
  <si>
    <t>Total Business</t>
  </si>
  <si>
    <t>Residential &amp; Business</t>
  </si>
  <si>
    <t>YTD Installs</t>
  </si>
  <si>
    <t>Prepared: 1/18/2012</t>
  </si>
  <si>
    <t>PROGRAM</t>
  </si>
  <si>
    <t>ECCR Costs</t>
  </si>
  <si>
    <t>Res. Solar Water Heater</t>
  </si>
  <si>
    <t>Business Photovoltaic Pilot</t>
  </si>
  <si>
    <t>Business Photovoltaic for Schools</t>
  </si>
  <si>
    <t>Renewable Research &amp; Demo Project</t>
  </si>
  <si>
    <t>Installs/KW in 2012</t>
  </si>
  <si>
    <t xml:space="preserve"> - Installations will be in-service in 2013 (construction began in 2012)</t>
  </si>
  <si>
    <t>Residential Solar Water Heating Pilot</t>
  </si>
  <si>
    <t>Residential Solar Water Heating (Low Income New Construction) Pilot</t>
  </si>
  <si>
    <t>Residential Photovoltaic Pilot</t>
  </si>
  <si>
    <t>Business Photovoltaics for Schools Pilot</t>
  </si>
  <si>
    <t>Electric</t>
  </si>
  <si>
    <t>Gas</t>
  </si>
  <si>
    <r>
      <t>Per Installation</t>
    </r>
    <r>
      <rPr>
        <vertAlign val="superscript"/>
        <sz val="10"/>
        <rFont val="Arial"/>
        <family val="2"/>
      </rPr>
      <t>(2)</t>
    </r>
  </si>
  <si>
    <t>`</t>
  </si>
  <si>
    <t>Discount Rates:</t>
  </si>
  <si>
    <t xml:space="preserve">   - 3/25/11 Alternate Plan</t>
  </si>
  <si>
    <t>Program Life (CPF runs)</t>
  </si>
  <si>
    <t>Solar (Res=Installs; Bus=kW @ Meter)</t>
  </si>
  <si>
    <t>Applicable Discount Rate</t>
  </si>
  <si>
    <t>Applicable DSM Plan</t>
  </si>
  <si>
    <t>RIM NPV Net Benefits</t>
  </si>
  <si>
    <t>2012 % of Net Benefits</t>
  </si>
  <si>
    <t>% Appl DSM Plan Total</t>
  </si>
  <si>
    <r>
      <t>(2)</t>
    </r>
    <r>
      <rPr>
        <sz val="10"/>
        <rFont val="Arial"/>
        <family val="2"/>
      </rPr>
      <t xml:space="preserve"> Reflects only the 16 electric water heaters replaced (gas = 6 replacements)</t>
    </r>
  </si>
  <si>
    <r>
      <t>(2)</t>
    </r>
    <r>
      <rPr>
        <sz val="10"/>
        <rFont val="Arial"/>
        <family val="2"/>
      </rPr>
      <t xml:space="preserve"> Reflects only the 1,131 electric water heaters replaced (gas = 14 replacements)</t>
    </r>
  </si>
  <si>
    <t>Business @ Meter</t>
  </si>
  <si>
    <t>Projected Installs</t>
  </si>
  <si>
    <t>Docket No. 130199-EI</t>
  </si>
  <si>
    <t>Staff's First Set of Interrogatories</t>
  </si>
  <si>
    <t>Interrogatory No. 18</t>
  </si>
  <si>
    <t>Attachment No. 2</t>
  </si>
  <si>
    <t>Tab 1 of 4</t>
  </si>
  <si>
    <t>Tab 4 of 4</t>
  </si>
  <si>
    <t>Tab 3 of 4</t>
  </si>
  <si>
    <t>Tab 2 of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</si>
</sst>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_);_(* \(#,##0.0\);_(* &quot;-&quot;??_);_(@_)"/>
    <numFmt numFmtId="167" formatCode="#,##0.0\ ;[Red]\(#,##0.0\)"/>
    <numFmt numFmtId="168" formatCode="_-* #,##0.0_-;\-* #,##0.0_-;_-* &quot;-&quot;??_-;_-@_-"/>
    <numFmt numFmtId="169" formatCode="#,##0.00&quot; $&quot;;\-#,##0.00&quot; $&quot;"/>
    <numFmt numFmtId="170" formatCode="0.00_)"/>
    <numFmt numFmtId="171" formatCode="_(&quot;$&quot;* #,##0_);_(&quot;$&quot;* \(#,##0\);_(&quot;$&quot;* &quot;-&quot;??_);_(@_)"/>
    <numFmt numFmtId="172" formatCode="0.0000"/>
    <numFmt numFmtId="173" formatCode="_-* #,##0.00\ _D_M_-;\-* #,##0.00\ _D_M_-;_-* &quot;-&quot;??\ _D_M_-;_-@_-"/>
    <numFmt numFmtId="174" formatCode="_-* #,##0.00\ &quot;DM&quot;_-;\-* #,##0.00\ &quot;DM&quot;_-;_-* &quot;-&quot;??\ &quot;DM&quot;_-;_-@_-"/>
    <numFmt numFmtId="175" formatCode="0.000_)"/>
    <numFmt numFmtId="176" formatCode="0.000000"/>
    <numFmt numFmtId="177" formatCode="_(* #,##0.00000_);_(* \(#,##0.00000\);_(* &quot;-&quot;??_);_(@_)"/>
    <numFmt numFmtId="178" formatCode="#,##0.0000"/>
    <numFmt numFmtId="179" formatCode="_(* #,##0.0000_);_(* \(#,##0.0000\);_(* &quot;-&quot;??_);_(@_)"/>
    <numFmt numFmtId="180" formatCode="0.000"/>
    <numFmt numFmtId="181" formatCode="0.0000%"/>
  </numFmts>
  <fonts count="82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name val="??"/>
    </font>
    <font>
      <b/>
      <sz val="11"/>
      <color indexed="8"/>
      <name val="Calibri"/>
      <family val="2"/>
    </font>
    <font>
      <b/>
      <u/>
      <sz val="11"/>
      <color indexed="16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u val="singleAccounting"/>
      <sz val="10"/>
      <name val="Arial"/>
      <family val="2"/>
    </font>
    <font>
      <vertAlign val="superscript"/>
      <sz val="10"/>
      <name val="Arial"/>
      <family val="2"/>
    </font>
    <font>
      <sz val="10"/>
      <color indexed="16"/>
      <name val="Arial"/>
      <family val="2"/>
    </font>
    <font>
      <sz val="6.5"/>
      <name val="Arial"/>
      <family val="2"/>
    </font>
    <font>
      <b/>
      <sz val="8"/>
      <color indexed="12"/>
      <name val="Arial"/>
      <family val="2"/>
    </font>
    <font>
      <b/>
      <u/>
      <sz val="8"/>
      <name val="Arial"/>
      <family val="2"/>
    </font>
    <font>
      <b/>
      <sz val="8"/>
      <color indexed="39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sz val="11"/>
      <name val="Tms Rmn"/>
      <family val="1"/>
    </font>
    <font>
      <b/>
      <sz val="12"/>
      <color indexed="16"/>
      <name val="Arial"/>
      <family val="2"/>
    </font>
    <font>
      <b/>
      <sz val="8"/>
      <color indexed="16"/>
      <name val="Arial"/>
      <family val="2"/>
    </font>
    <font>
      <sz val="8"/>
      <color indexed="16"/>
      <name val="Arial"/>
      <family val="2"/>
    </font>
    <font>
      <b/>
      <sz val="10"/>
      <color indexed="16"/>
      <name val="Arial"/>
      <family val="2"/>
    </font>
    <font>
      <sz val="11"/>
      <name val="Calibri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5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1"/>
      <color indexed="16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</fills>
  <borders count="73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31">
    <xf numFmtId="0" fontId="0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7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19" borderId="0" applyNumberFormat="0" applyBorder="0" applyAlignment="0" applyProtection="0"/>
    <xf numFmtId="0" fontId="6" fillId="12" borderId="0" applyNumberFormat="0" applyBorder="0" applyAlignment="0" applyProtection="0"/>
    <xf numFmtId="0" fontId="7" fillId="20" borderId="0" applyNumberFormat="0" applyBorder="0" applyAlignment="0" applyProtection="0"/>
    <xf numFmtId="167" fontId="8" fillId="21" borderId="1">
      <alignment horizontal="center" vertical="center"/>
    </xf>
    <xf numFmtId="43" fontId="1" fillId="0" borderId="0" applyFont="0" applyFill="0" applyBorder="0" applyAlignment="0" applyProtection="0"/>
    <xf numFmtId="175" fontId="36" fillId="0" borderId="0"/>
    <xf numFmtId="175" fontId="36" fillId="0" borderId="0"/>
    <xf numFmtId="175" fontId="36" fillId="0" borderId="0"/>
    <xf numFmtId="175" fontId="36" fillId="0" borderId="0"/>
    <xf numFmtId="175" fontId="36" fillId="0" borderId="0"/>
    <xf numFmtId="175" fontId="36" fillId="0" borderId="0"/>
    <xf numFmtId="175" fontId="36" fillId="0" borderId="0"/>
    <xf numFmtId="175" fontId="36" fillId="0" borderId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43" fillId="0" borderId="0" applyFont="0" applyFill="0" applyBorder="0" applyAlignment="0" applyProtection="0"/>
    <xf numFmtId="6" fontId="9" fillId="0" borderId="0">
      <protection locked="0"/>
    </xf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168" fontId="1" fillId="0" borderId="0">
      <protection locked="0"/>
    </xf>
    <xf numFmtId="38" fontId="2" fillId="21" borderId="0" applyNumberFormat="0" applyBorder="0" applyAlignment="0" applyProtection="0"/>
    <xf numFmtId="0" fontId="11" fillId="0" borderId="0" applyNumberFormat="0" applyFill="0" applyBorder="0" applyAlignment="0" applyProtection="0"/>
    <xf numFmtId="169" fontId="1" fillId="0" borderId="0">
      <protection locked="0"/>
    </xf>
    <xf numFmtId="169" fontId="1" fillId="0" borderId="0">
      <protection locked="0"/>
    </xf>
    <xf numFmtId="0" fontId="12" fillId="0" borderId="2" applyNumberFormat="0" applyFill="0" applyAlignment="0" applyProtection="0"/>
    <xf numFmtId="10" fontId="2" fillId="25" borderId="3" applyNumberFormat="0" applyBorder="0" applyAlignment="0" applyProtection="0"/>
    <xf numFmtId="37" fontId="13" fillId="0" borderId="0"/>
    <xf numFmtId="170" fontId="14" fillId="0" borderId="0"/>
    <xf numFmtId="0" fontId="1" fillId="0" borderId="0"/>
    <xf numFmtId="0" fontId="6" fillId="0" borderId="0"/>
    <xf numFmtId="0" fontId="33" fillId="0" borderId="0"/>
    <xf numFmtId="0" fontId="43" fillId="0" borderId="0"/>
    <xf numFmtId="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" fontId="15" fillId="26" borderId="4" applyNumberFormat="0" applyProtection="0">
      <alignment vertical="center"/>
    </xf>
    <xf numFmtId="4" fontId="16" fillId="27" borderId="4" applyNumberFormat="0" applyProtection="0">
      <alignment vertical="center"/>
    </xf>
    <xf numFmtId="4" fontId="15" fillId="27" borderId="4" applyNumberFormat="0" applyProtection="0">
      <alignment horizontal="left" vertical="center" indent="1"/>
    </xf>
    <xf numFmtId="0" fontId="15" fillId="27" borderId="4" applyNumberFormat="0" applyProtection="0">
      <alignment horizontal="left" vertical="top" indent="1"/>
    </xf>
    <xf numFmtId="4" fontId="15" fillId="28" borderId="0" applyNumberFormat="0" applyProtection="0">
      <alignment horizontal="left" vertical="center" indent="1"/>
    </xf>
    <xf numFmtId="4" fontId="15" fillId="29" borderId="0" applyNumberFormat="0" applyProtection="0">
      <alignment horizontal="left" vertical="center" indent="1"/>
    </xf>
    <xf numFmtId="4" fontId="17" fillId="2" borderId="4" applyNumberFormat="0" applyProtection="0">
      <alignment horizontal="right" vertical="center"/>
    </xf>
    <xf numFmtId="4" fontId="17" fillId="3" borderId="4" applyNumberFormat="0" applyProtection="0">
      <alignment horizontal="right" vertical="center"/>
    </xf>
    <xf numFmtId="4" fontId="17" fillId="10" borderId="4" applyNumberFormat="0" applyProtection="0">
      <alignment horizontal="right" vertical="center"/>
    </xf>
    <xf numFmtId="4" fontId="17" fillId="5" borderId="4" applyNumberFormat="0" applyProtection="0">
      <alignment horizontal="right" vertical="center"/>
    </xf>
    <xf numFmtId="4" fontId="17" fillId="6" borderId="4" applyNumberFormat="0" applyProtection="0">
      <alignment horizontal="right" vertical="center"/>
    </xf>
    <xf numFmtId="4" fontId="17" fillId="18" borderId="4" applyNumberFormat="0" applyProtection="0">
      <alignment horizontal="right" vertical="center"/>
    </xf>
    <xf numFmtId="4" fontId="17" fillId="14" borderId="4" applyNumberFormat="0" applyProtection="0">
      <alignment horizontal="right" vertical="center"/>
    </xf>
    <xf numFmtId="4" fontId="17" fillId="30" borderId="4" applyNumberFormat="0" applyProtection="0">
      <alignment horizontal="right" vertical="center"/>
    </xf>
    <xf numFmtId="4" fontId="17" fillId="4" borderId="4" applyNumberFormat="0" applyProtection="0">
      <alignment horizontal="right" vertical="center"/>
    </xf>
    <xf numFmtId="4" fontId="15" fillId="31" borderId="5" applyNumberFormat="0" applyProtection="0">
      <alignment horizontal="left" vertical="center" indent="1"/>
    </xf>
    <xf numFmtId="4" fontId="17" fillId="32" borderId="0" applyNumberFormat="0" applyProtection="0">
      <alignment horizontal="left" vertical="center" indent="1"/>
    </xf>
    <xf numFmtId="4" fontId="18" fillId="33" borderId="0" applyNumberFormat="0" applyProtection="0">
      <alignment horizontal="left" vertical="center" indent="1"/>
    </xf>
    <xf numFmtId="4" fontId="17" fillId="29" borderId="4" applyNumberFormat="0" applyProtection="0">
      <alignment horizontal="right" vertical="center"/>
    </xf>
    <xf numFmtId="4" fontId="17" fillId="32" borderId="0" applyNumberFormat="0" applyProtection="0">
      <alignment horizontal="left" vertical="center" indent="1"/>
    </xf>
    <xf numFmtId="4" fontId="17" fillId="28" borderId="0" applyNumberFormat="0" applyProtection="0">
      <alignment horizontal="left" vertical="center" indent="1"/>
    </xf>
    <xf numFmtId="0" fontId="1" fillId="33" borderId="4" applyNumberFormat="0" applyProtection="0">
      <alignment horizontal="left" vertical="center" indent="1"/>
    </xf>
    <xf numFmtId="0" fontId="1" fillId="34" borderId="4" applyNumberFormat="0" applyProtection="0">
      <alignment horizontal="left" vertical="center" indent="1"/>
    </xf>
    <xf numFmtId="0" fontId="1" fillId="33" borderId="4" applyNumberFormat="0" applyProtection="0">
      <alignment horizontal="left" vertical="top" indent="1"/>
    </xf>
    <xf numFmtId="0" fontId="1" fillId="28" borderId="4" applyNumberFormat="0" applyProtection="0">
      <alignment horizontal="left" vertical="center" indent="1"/>
    </xf>
    <xf numFmtId="0" fontId="1" fillId="28" borderId="4" applyNumberFormat="0" applyProtection="0">
      <alignment horizontal="left" vertical="top" indent="1"/>
    </xf>
    <xf numFmtId="0" fontId="1" fillId="35" borderId="4" applyNumberFormat="0" applyProtection="0">
      <alignment horizontal="left" vertical="center" indent="1"/>
    </xf>
    <xf numFmtId="0" fontId="1" fillId="35" borderId="4" applyNumberFormat="0" applyProtection="0">
      <alignment horizontal="left" vertical="top" indent="1"/>
    </xf>
    <xf numFmtId="0" fontId="1" fillId="36" borderId="4" applyNumberFormat="0" applyProtection="0">
      <alignment horizontal="left" vertical="center" indent="1"/>
    </xf>
    <xf numFmtId="0" fontId="1" fillId="32" borderId="4" applyNumberFormat="0" applyProtection="0">
      <alignment horizontal="left" vertical="center" indent="1"/>
    </xf>
    <xf numFmtId="0" fontId="1" fillId="36" borderId="4" applyNumberFormat="0" applyProtection="0">
      <alignment horizontal="left" vertical="top" indent="1"/>
    </xf>
    <xf numFmtId="0" fontId="1" fillId="37" borderId="3" applyNumberFormat="0">
      <protection locked="0"/>
    </xf>
    <xf numFmtId="4" fontId="17" fillId="38" borderId="4" applyNumberFormat="0" applyProtection="0">
      <alignment vertical="center"/>
    </xf>
    <xf numFmtId="4" fontId="19" fillId="38" borderId="4" applyNumberFormat="0" applyProtection="0">
      <alignment vertical="center"/>
    </xf>
    <xf numFmtId="4" fontId="17" fillId="38" borderId="4" applyNumberFormat="0" applyProtection="0">
      <alignment horizontal="left" vertical="center" indent="1"/>
    </xf>
    <xf numFmtId="0" fontId="17" fillId="38" borderId="4" applyNumberFormat="0" applyProtection="0">
      <alignment horizontal="left" vertical="top" indent="1"/>
    </xf>
    <xf numFmtId="4" fontId="17" fillId="32" borderId="4" applyNumberFormat="0" applyProtection="0">
      <alignment horizontal="right" vertical="center"/>
    </xf>
    <xf numFmtId="4" fontId="19" fillId="32" borderId="4" applyNumberFormat="0" applyProtection="0">
      <alignment horizontal="right" vertical="center"/>
    </xf>
    <xf numFmtId="4" fontId="17" fillId="29" borderId="4" applyNumberFormat="0" applyProtection="0">
      <alignment horizontal="left" vertical="center" indent="1"/>
    </xf>
    <xf numFmtId="0" fontId="17" fillId="28" borderId="4" applyNumberFormat="0" applyProtection="0">
      <alignment horizontal="left" vertical="top" indent="1"/>
    </xf>
    <xf numFmtId="4" fontId="20" fillId="39" borderId="0" applyNumberFormat="0" applyProtection="0">
      <alignment horizontal="left" vertical="center" indent="1"/>
    </xf>
    <xf numFmtId="4" fontId="21" fillId="32" borderId="4" applyNumberFormat="0" applyProtection="0">
      <alignment horizontal="right" vertical="center"/>
    </xf>
    <xf numFmtId="0" fontId="22" fillId="40" borderId="0"/>
    <xf numFmtId="0" fontId="23" fillId="0" borderId="0" applyNumberFormat="0" applyFill="0" applyBorder="0" applyAlignment="0" applyProtection="0"/>
    <xf numFmtId="176" fontId="1" fillId="0" borderId="0">
      <alignment horizontal="left" wrapText="1"/>
    </xf>
    <xf numFmtId="37" fontId="2" fillId="21" borderId="0" applyNumberFormat="0" applyBorder="0" applyAlignment="0" applyProtection="0"/>
    <xf numFmtId="37" fontId="2" fillId="0" borderId="0"/>
    <xf numFmtId="37" fontId="2" fillId="27" borderId="0" applyNumberFormat="0" applyBorder="0" applyAlignment="0" applyProtection="0"/>
    <xf numFmtId="3" fontId="5" fillId="0" borderId="2" applyProtection="0"/>
    <xf numFmtId="0" fontId="17" fillId="43" borderId="0" applyNumberFormat="0" applyBorder="0" applyAlignment="0" applyProtection="0"/>
    <xf numFmtId="0" fontId="17" fillId="2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7" borderId="0" applyNumberFormat="0" applyBorder="0" applyAlignment="0" applyProtection="0"/>
    <xf numFmtId="0" fontId="17" fillId="48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45" borderId="0" applyNumberFormat="0" applyBorder="0" applyAlignment="0" applyProtection="0"/>
    <xf numFmtId="0" fontId="17" fillId="48" borderId="0" applyNumberFormat="0" applyBorder="0" applyAlignment="0" applyProtection="0"/>
    <xf numFmtId="0" fontId="17" fillId="5" borderId="0" applyNumberFormat="0" applyBorder="0" applyAlignment="0" applyProtection="0"/>
    <xf numFmtId="0" fontId="51" fillId="49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1" fillId="6" borderId="0" applyNumberFormat="0" applyBorder="0" applyAlignment="0" applyProtection="0"/>
    <xf numFmtId="0" fontId="51" fillId="52" borderId="0" applyNumberFormat="0" applyBorder="0" applyAlignment="0" applyProtection="0"/>
    <xf numFmtId="0" fontId="51" fillId="10" borderId="0" applyNumberFormat="0" applyBorder="0" applyAlignment="0" applyProtection="0"/>
    <xf numFmtId="0" fontId="51" fillId="14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1" fillId="18" borderId="0" applyNumberFormat="0" applyBorder="0" applyAlignment="0" applyProtection="0"/>
    <xf numFmtId="0" fontId="52" fillId="2" borderId="0" applyNumberFormat="0" applyBorder="0" applyAlignment="0" applyProtection="0"/>
    <xf numFmtId="0" fontId="53" fillId="53" borderId="59" applyNumberFormat="0" applyAlignment="0" applyProtection="0"/>
    <xf numFmtId="0" fontId="54" fillId="54" borderId="60" applyNumberFormat="0" applyAlignment="0" applyProtection="0"/>
    <xf numFmtId="0" fontId="51" fillId="18" borderId="0" applyNumberFormat="0" applyBorder="0" applyAlignment="0" applyProtection="0"/>
    <xf numFmtId="43" fontId="67" fillId="0" borderId="0" applyFont="0" applyFill="0" applyBorder="0" applyAlignment="0" applyProtection="0"/>
    <xf numFmtId="0" fontId="51" fillId="50" borderId="0" applyNumberFormat="0" applyBorder="0" applyAlignment="0" applyProtection="0"/>
    <xf numFmtId="0" fontId="55" fillId="0" borderId="0" applyNumberFormat="0" applyFill="0" applyBorder="0" applyAlignment="0" applyProtection="0"/>
    <xf numFmtId="0" fontId="56" fillId="44" borderId="0" applyNumberFormat="0" applyBorder="0" applyAlignment="0" applyProtection="0"/>
    <xf numFmtId="0" fontId="57" fillId="0" borderId="61" applyNumberFormat="0" applyFill="0" applyAlignment="0" applyProtection="0"/>
    <xf numFmtId="0" fontId="58" fillId="0" borderId="62" applyNumberFormat="0" applyFill="0" applyAlignment="0" applyProtection="0"/>
    <xf numFmtId="0" fontId="59" fillId="0" borderId="63" applyNumberFormat="0" applyFill="0" applyAlignment="0" applyProtection="0"/>
    <xf numFmtId="0" fontId="59" fillId="0" borderId="0" applyNumberFormat="0" applyFill="0" applyBorder="0" applyAlignment="0" applyProtection="0"/>
    <xf numFmtId="0" fontId="60" fillId="47" borderId="59" applyNumberFormat="0" applyAlignment="0" applyProtection="0"/>
    <xf numFmtId="0" fontId="61" fillId="0" borderId="64" applyNumberFormat="0" applyFill="0" applyAlignment="0" applyProtection="0"/>
    <xf numFmtId="0" fontId="62" fillId="26" borderId="0" applyNumberFormat="0" applyBorder="0" applyAlignment="0" applyProtection="0"/>
    <xf numFmtId="0" fontId="1" fillId="0" borderId="0"/>
    <xf numFmtId="0" fontId="6" fillId="55" borderId="65" applyNumberFormat="0" applyFont="0" applyAlignment="0" applyProtection="0"/>
    <xf numFmtId="0" fontId="63" fillId="53" borderId="66" applyNumberFormat="0" applyAlignment="0" applyProtection="0"/>
    <xf numFmtId="4" fontId="16" fillId="26" borderId="4" applyNumberFormat="0" applyProtection="0">
      <alignment vertical="center"/>
    </xf>
    <xf numFmtId="4" fontId="15" fillId="26" borderId="4" applyNumberFormat="0" applyProtection="0">
      <alignment horizontal="left" vertical="center" indent="1"/>
    </xf>
    <xf numFmtId="0" fontId="15" fillId="26" borderId="4" applyNumberFormat="0" applyProtection="0">
      <alignment horizontal="left" vertical="top" indent="1"/>
    </xf>
    <xf numFmtId="0" fontId="51" fillId="10" borderId="0" applyNumberFormat="0" applyBorder="0" applyAlignment="0" applyProtection="0"/>
    <xf numFmtId="0" fontId="51" fillId="52" borderId="0" applyNumberFormat="0" applyBorder="0" applyAlignment="0" applyProtection="0"/>
    <xf numFmtId="4" fontId="18" fillId="34" borderId="0" applyNumberFormat="0" applyProtection="0">
      <alignment horizontal="left" vertical="center" indent="1"/>
    </xf>
    <xf numFmtId="4" fontId="17" fillId="29" borderId="0" applyNumberFormat="0" applyProtection="0">
      <alignment horizontal="left" vertical="center" indent="1"/>
    </xf>
    <xf numFmtId="0" fontId="1" fillId="34" borderId="4" applyNumberFormat="0" applyProtection="0">
      <alignment horizontal="left" vertical="top" indent="1"/>
    </xf>
    <xf numFmtId="0" fontId="1" fillId="29" borderId="4" applyNumberFormat="0" applyProtection="0">
      <alignment horizontal="left" vertical="center" indent="1"/>
    </xf>
    <xf numFmtId="0" fontId="1" fillId="29" borderId="4" applyNumberFormat="0" applyProtection="0">
      <alignment horizontal="left" vertical="top" indent="1"/>
    </xf>
    <xf numFmtId="0" fontId="1" fillId="48" borderId="4" applyNumberFormat="0" applyProtection="0">
      <alignment horizontal="left" vertical="center" indent="1"/>
    </xf>
    <xf numFmtId="0" fontId="1" fillId="48" borderId="4" applyNumberFormat="0" applyProtection="0">
      <alignment horizontal="left" vertical="top" indent="1"/>
    </xf>
    <xf numFmtId="0" fontId="1" fillId="32" borderId="4" applyNumberFormat="0" applyProtection="0">
      <alignment horizontal="left" vertical="top" indent="1"/>
    </xf>
    <xf numFmtId="4" fontId="17" fillId="55" borderId="4" applyNumberFormat="0" applyProtection="0">
      <alignment vertical="center"/>
    </xf>
    <xf numFmtId="4" fontId="19" fillId="55" borderId="4" applyNumberFormat="0" applyProtection="0">
      <alignment vertical="center"/>
    </xf>
    <xf numFmtId="4" fontId="17" fillId="55" borderId="4" applyNumberFormat="0" applyProtection="0">
      <alignment horizontal="left" vertical="center" indent="1"/>
    </xf>
    <xf numFmtId="0" fontId="17" fillId="55" borderId="4" applyNumberFormat="0" applyProtection="0">
      <alignment horizontal="left" vertical="top" indent="1"/>
    </xf>
    <xf numFmtId="0" fontId="17" fillId="29" borderId="4" applyNumberFormat="0" applyProtection="0">
      <alignment horizontal="left" vertical="top" indent="1"/>
    </xf>
    <xf numFmtId="0" fontId="64" fillId="0" borderId="0" applyNumberFormat="0" applyFill="0" applyBorder="0" applyAlignment="0" applyProtection="0"/>
    <xf numFmtId="0" fontId="15" fillId="0" borderId="67" applyNumberFormat="0" applyFill="0" applyAlignment="0" applyProtection="0"/>
    <xf numFmtId="0" fontId="21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7" fillId="3" borderId="0" applyNumberFormat="0" applyBorder="0" applyAlignment="0" applyProtection="0"/>
    <xf numFmtId="0" fontId="17" fillId="55" borderId="0" applyNumberFormat="0" applyBorder="0" applyAlignment="0" applyProtection="0"/>
    <xf numFmtId="0" fontId="17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2" borderId="0" applyNumberFormat="0" applyBorder="0" applyAlignment="0" applyProtection="0"/>
    <xf numFmtId="0" fontId="17" fillId="34" borderId="0" applyNumberFormat="0" applyBorder="0" applyAlignment="0" applyProtection="0"/>
    <xf numFmtId="0" fontId="17" fillId="14" borderId="0" applyNumberFormat="0" applyBorder="0" applyAlignment="0" applyProtection="0"/>
    <xf numFmtId="0" fontId="17" fillId="53" borderId="0" applyNumberFormat="0" applyBorder="0" applyAlignment="0" applyProtection="0"/>
    <xf numFmtId="0" fontId="17" fillId="34" borderId="0" applyNumberFormat="0" applyBorder="0" applyAlignment="0" applyProtection="0"/>
    <xf numFmtId="0" fontId="17" fillId="47" borderId="0" applyNumberFormat="0" applyBorder="0" applyAlignment="0" applyProtection="0"/>
    <xf numFmtId="0" fontId="51" fillId="34" borderId="0" applyNumberFormat="0" applyBorder="0" applyAlignment="0" applyProtection="0"/>
    <xf numFmtId="0" fontId="51" fillId="14" borderId="0" applyNumberFormat="0" applyBorder="0" applyAlignment="0" applyProtection="0"/>
    <xf numFmtId="0" fontId="51" fillId="53" borderId="0" applyNumberFormat="0" applyBorder="0" applyAlignment="0" applyProtection="0"/>
    <xf numFmtId="0" fontId="51" fillId="34" borderId="0" applyNumberFormat="0" applyBorder="0" applyAlignment="0" applyProtection="0"/>
    <xf numFmtId="0" fontId="51" fillId="47" borderId="0" applyNumberFormat="0" applyBorder="0" applyAlignment="0" applyProtection="0"/>
    <xf numFmtId="0" fontId="7" fillId="5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7" fillId="57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8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59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7" fillId="60" borderId="0" applyNumberFormat="0" applyBorder="0" applyAlignment="0" applyProtection="0"/>
    <xf numFmtId="0" fontId="6" fillId="19" borderId="0" applyNumberFormat="0" applyBorder="0" applyAlignment="0" applyProtection="0"/>
    <xf numFmtId="0" fontId="6" fillId="12" borderId="0" applyNumberFormat="0" applyBorder="0" applyAlignment="0" applyProtection="0"/>
    <xf numFmtId="0" fontId="65" fillId="12" borderId="0" applyNumberFormat="0" applyBorder="0" applyAlignment="0" applyProtection="0"/>
    <xf numFmtId="0" fontId="68" fillId="61" borderId="59" applyNumberFormat="0" applyAlignment="0" applyProtection="0"/>
    <xf numFmtId="0" fontId="69" fillId="13" borderId="60" applyNumberFormat="0" applyAlignment="0" applyProtection="0"/>
    <xf numFmtId="40" fontId="8" fillId="0" borderId="0" applyFont="0" applyFill="0" applyBorder="0" applyAlignment="0" applyProtection="0"/>
    <xf numFmtId="0" fontId="51" fillId="51" borderId="0" applyNumberFormat="0" applyBorder="0" applyAlignment="0" applyProtection="0"/>
    <xf numFmtId="174" fontId="1" fillId="0" borderId="0" applyFont="0" applyFill="0" applyBorder="0" applyAlignment="0" applyProtection="0"/>
    <xf numFmtId="0" fontId="70" fillId="62" borderId="0" applyNumberFormat="0" applyBorder="0" applyAlignment="0" applyProtection="0"/>
    <xf numFmtId="0" fontId="71" fillId="0" borderId="68" applyNumberFormat="0" applyFill="0" applyAlignment="0" applyProtection="0"/>
    <xf numFmtId="0" fontId="72" fillId="0" borderId="62" applyNumberFormat="0" applyFill="0" applyAlignment="0" applyProtection="0"/>
    <xf numFmtId="0" fontId="73" fillId="0" borderId="69" applyNumberFormat="0" applyFill="0" applyAlignment="0" applyProtection="0"/>
    <xf numFmtId="0" fontId="73" fillId="0" borderId="0" applyNumberFormat="0" applyFill="0" applyBorder="0" applyAlignment="0" applyProtection="0"/>
    <xf numFmtId="0" fontId="74" fillId="20" borderId="59" applyNumberFormat="0" applyAlignment="0" applyProtection="0"/>
    <xf numFmtId="0" fontId="75" fillId="0" borderId="70" applyNumberFormat="0" applyFill="0" applyAlignment="0" applyProtection="0"/>
    <xf numFmtId="0" fontId="76" fillId="20" borderId="0" applyNumberFormat="0" applyBorder="0" applyAlignment="0" applyProtection="0"/>
    <xf numFmtId="0" fontId="1" fillId="19" borderId="65" applyNumberFormat="0" applyFont="0" applyAlignment="0" applyProtection="0"/>
    <xf numFmtId="0" fontId="77" fillId="61" borderId="66" applyNumberFormat="0" applyAlignment="0" applyProtection="0"/>
    <xf numFmtId="9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71" applyNumberFormat="0" applyFill="0" applyAlignment="0" applyProtection="0"/>
    <xf numFmtId="0" fontId="66" fillId="0" borderId="0" applyNumberFormat="0" applyFill="0" applyBorder="0" applyAlignment="0" applyProtection="0"/>
    <xf numFmtId="0" fontId="5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6" fontId="1" fillId="0" borderId="0">
      <alignment horizontal="left" wrapText="1"/>
    </xf>
    <xf numFmtId="0" fontId="60" fillId="47" borderId="59" applyNumberFormat="0" applyAlignment="0" applyProtection="0"/>
  </cellStyleXfs>
  <cellXfs count="320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1" borderId="0" xfId="0" applyFont="1" applyFill="1"/>
    <xf numFmtId="0" fontId="0" fillId="0" borderId="0" xfId="0" applyFont="1"/>
    <xf numFmtId="0" fontId="0" fillId="0" borderId="0" xfId="0" applyFont="1" applyFill="1"/>
    <xf numFmtId="43" fontId="25" fillId="41" borderId="6" xfId="20" applyFont="1" applyFill="1" applyBorder="1" applyAlignment="1">
      <alignment horizontal="center"/>
    </xf>
    <xf numFmtId="43" fontId="25" fillId="41" borderId="7" xfId="20" applyFont="1" applyFill="1" applyBorder="1" applyAlignment="1">
      <alignment horizontal="center"/>
    </xf>
    <xf numFmtId="43" fontId="25" fillId="41" borderId="8" xfId="20" applyFont="1" applyFill="1" applyBorder="1" applyAlignment="1">
      <alignment horizontal="center"/>
    </xf>
    <xf numFmtId="0" fontId="0" fillId="0" borderId="0" xfId="0" applyFont="1" applyFill="1" applyBorder="1"/>
    <xf numFmtId="0" fontId="0" fillId="41" borderId="6" xfId="0" quotePrefix="1" applyFont="1" applyFill="1" applyBorder="1" applyAlignment="1">
      <alignment horizontal="left"/>
    </xf>
    <xf numFmtId="0" fontId="0" fillId="41" borderId="24" xfId="0" applyFont="1" applyFill="1" applyBorder="1"/>
    <xf numFmtId="0" fontId="0" fillId="41" borderId="8" xfId="0" applyFont="1" applyFill="1" applyBorder="1"/>
    <xf numFmtId="0" fontId="0" fillId="41" borderId="15" xfId="0" applyFont="1" applyFill="1" applyBorder="1"/>
    <xf numFmtId="0" fontId="0" fillId="41" borderId="17" xfId="0" applyFont="1" applyFill="1" applyBorder="1"/>
    <xf numFmtId="0" fontId="0" fillId="41" borderId="18" xfId="0" applyFont="1" applyFill="1" applyBorder="1"/>
    <xf numFmtId="0" fontId="0" fillId="41" borderId="26" xfId="0" quotePrefix="1" applyFont="1" applyFill="1" applyBorder="1" applyAlignment="1">
      <alignment horizontal="center"/>
    </xf>
    <xf numFmtId="0" fontId="0" fillId="41" borderId="15" xfId="0" quotePrefix="1" applyFont="1" applyFill="1" applyBorder="1" applyAlignment="1">
      <alignment horizontal="center"/>
    </xf>
    <xf numFmtId="0" fontId="0" fillId="41" borderId="19" xfId="0" quotePrefix="1" applyFill="1" applyBorder="1" applyAlignment="1">
      <alignment horizontal="left"/>
    </xf>
    <xf numFmtId="0" fontId="0" fillId="41" borderId="27" xfId="0" applyFont="1" applyFill="1" applyBorder="1"/>
    <xf numFmtId="0" fontId="0" fillId="41" borderId="28" xfId="0" applyFont="1" applyFill="1" applyBorder="1"/>
    <xf numFmtId="2" fontId="0" fillId="41" borderId="29" xfId="0" applyNumberFormat="1" applyFont="1" applyFill="1" applyBorder="1" applyAlignment="1">
      <alignment horizontal="right"/>
    </xf>
    <xf numFmtId="2" fontId="0" fillId="41" borderId="28" xfId="0" applyNumberFormat="1" applyFont="1" applyFill="1" applyBorder="1" applyAlignment="1">
      <alignment horizontal="right"/>
    </xf>
    <xf numFmtId="3" fontId="0" fillId="41" borderId="29" xfId="0" applyNumberFormat="1" applyFont="1" applyFill="1" applyBorder="1" applyAlignment="1">
      <alignment horizontal="right"/>
    </xf>
    <xf numFmtId="3" fontId="0" fillId="41" borderId="28" xfId="0" applyNumberFormat="1" applyFont="1" applyFill="1" applyBorder="1" applyAlignment="1">
      <alignment horizontal="right"/>
    </xf>
    <xf numFmtId="0" fontId="0" fillId="41" borderId="20" xfId="0" quotePrefix="1" applyFill="1" applyBorder="1" applyAlignment="1">
      <alignment horizontal="left"/>
    </xf>
    <xf numFmtId="0" fontId="0" fillId="41" borderId="30" xfId="0" applyFont="1" applyFill="1" applyBorder="1"/>
    <xf numFmtId="0" fontId="0" fillId="41" borderId="31" xfId="0" applyFont="1" applyFill="1" applyBorder="1"/>
    <xf numFmtId="2" fontId="0" fillId="41" borderId="32" xfId="0" applyNumberFormat="1" applyFont="1" applyFill="1" applyBorder="1" applyAlignment="1">
      <alignment horizontal="right"/>
    </xf>
    <xf numFmtId="2" fontId="0" fillId="41" borderId="31" xfId="0" applyNumberFormat="1" applyFont="1" applyFill="1" applyBorder="1" applyAlignment="1">
      <alignment horizontal="right"/>
    </xf>
    <xf numFmtId="3" fontId="0" fillId="41" borderId="32" xfId="0" applyNumberFormat="1" applyFont="1" applyFill="1" applyBorder="1" applyAlignment="1">
      <alignment horizontal="right"/>
    </xf>
    <xf numFmtId="3" fontId="0" fillId="41" borderId="31" xfId="0" applyNumberFormat="1" applyFont="1" applyFill="1" applyBorder="1" applyAlignment="1">
      <alignment horizontal="right"/>
    </xf>
    <xf numFmtId="0" fontId="0" fillId="41" borderId="22" xfId="0" quotePrefix="1" applyFill="1" applyBorder="1" applyAlignment="1">
      <alignment horizontal="left"/>
    </xf>
    <xf numFmtId="0" fontId="0" fillId="41" borderId="33" xfId="0" applyFont="1" applyFill="1" applyBorder="1"/>
    <xf numFmtId="0" fontId="0" fillId="41" borderId="34" xfId="0" applyFont="1" applyFill="1" applyBorder="1"/>
    <xf numFmtId="3" fontId="1" fillId="41" borderId="35" xfId="20" applyNumberFormat="1" applyFont="1" applyFill="1" applyBorder="1" applyAlignment="1">
      <alignment horizontal="right"/>
    </xf>
    <xf numFmtId="3" fontId="1" fillId="41" borderId="34" xfId="20" applyNumberFormat="1" applyFont="1" applyFill="1" applyBorder="1" applyAlignment="1">
      <alignment horizontal="right"/>
    </xf>
    <xf numFmtId="3" fontId="0" fillId="41" borderId="35" xfId="0" applyNumberFormat="1" applyFont="1" applyFill="1" applyBorder="1" applyAlignment="1">
      <alignment horizontal="right"/>
    </xf>
    <xf numFmtId="3" fontId="0" fillId="41" borderId="34" xfId="0" applyNumberFormat="1" applyFont="1" applyFill="1" applyBorder="1" applyAlignment="1">
      <alignment horizontal="right"/>
    </xf>
    <xf numFmtId="0" fontId="0" fillId="41" borderId="36" xfId="0" quotePrefix="1" applyFill="1" applyBorder="1" applyAlignment="1">
      <alignment horizontal="center" wrapText="1"/>
    </xf>
    <xf numFmtId="0" fontId="24" fillId="41" borderId="16" xfId="0" quotePrefix="1" applyFont="1" applyFill="1" applyBorder="1" applyAlignment="1">
      <alignment horizontal="left"/>
    </xf>
    <xf numFmtId="0" fontId="0" fillId="41" borderId="0" xfId="0" quotePrefix="1" applyFill="1" applyAlignment="1">
      <alignment horizontal="left"/>
    </xf>
    <xf numFmtId="0" fontId="0" fillId="41" borderId="0" xfId="0" applyFont="1" applyFill="1"/>
    <xf numFmtId="0" fontId="0" fillId="41" borderId="0" xfId="0" applyFont="1" applyFill="1" applyAlignment="1">
      <alignment horizontal="center"/>
    </xf>
    <xf numFmtId="0" fontId="0" fillId="41" borderId="0" xfId="0" quotePrefix="1" applyFont="1" applyFill="1" applyAlignment="1">
      <alignment horizontal="right"/>
    </xf>
    <xf numFmtId="0" fontId="0" fillId="41" borderId="0" xfId="0" quotePrefix="1" applyFont="1" applyFill="1" applyAlignment="1">
      <alignment horizontal="left"/>
    </xf>
    <xf numFmtId="0" fontId="0" fillId="41" borderId="0" xfId="0" quotePrefix="1" applyFont="1" applyFill="1" applyAlignment="1">
      <alignment horizontal="center"/>
    </xf>
    <xf numFmtId="0" fontId="24" fillId="41" borderId="0" xfId="0" quotePrefix="1" applyFont="1" applyFill="1" applyAlignment="1">
      <alignment horizontal="left"/>
    </xf>
    <xf numFmtId="15" fontId="0" fillId="41" borderId="0" xfId="0" quotePrefix="1" applyNumberFormat="1" applyFont="1" applyFill="1" applyAlignment="1">
      <alignment horizontal="left"/>
    </xf>
    <xf numFmtId="15" fontId="0" fillId="41" borderId="0" xfId="0" quotePrefix="1" applyNumberFormat="1" applyFont="1" applyFill="1" applyAlignment="1">
      <alignment horizontal="center"/>
    </xf>
    <xf numFmtId="5" fontId="1" fillId="41" borderId="28" xfId="34" applyNumberFormat="1" applyFont="1" applyFill="1" applyBorder="1" applyAlignment="1">
      <alignment horizontal="right"/>
    </xf>
    <xf numFmtId="0" fontId="26" fillId="41" borderId="0" xfId="0" quotePrefix="1" applyFont="1" applyFill="1" applyAlignment="1">
      <alignment horizontal="left"/>
    </xf>
    <xf numFmtId="0" fontId="24" fillId="41" borderId="13" xfId="0" applyFont="1" applyFill="1" applyBorder="1" applyAlignment="1">
      <alignment horizontal="left"/>
    </xf>
    <xf numFmtId="0" fontId="0" fillId="21" borderId="0" xfId="0" applyFont="1" applyFill="1" applyAlignment="1">
      <alignment horizontal="center"/>
    </xf>
    <xf numFmtId="0" fontId="0" fillId="21" borderId="0" xfId="0" applyFont="1" applyFill="1"/>
    <xf numFmtId="0" fontId="0" fillId="41" borderId="16" xfId="0" quotePrefix="1" applyFont="1" applyFill="1" applyBorder="1" applyAlignment="1">
      <alignment horizontal="center"/>
    </xf>
    <xf numFmtId="0" fontId="0" fillId="41" borderId="37" xfId="0" quotePrefix="1" applyFont="1" applyFill="1" applyBorder="1" applyAlignment="1">
      <alignment horizontal="center" wrapText="1"/>
    </xf>
    <xf numFmtId="0" fontId="0" fillId="41" borderId="18" xfId="0" quotePrefix="1" applyFont="1" applyFill="1" applyBorder="1" applyAlignment="1">
      <alignment horizontal="center" wrapText="1"/>
    </xf>
    <xf numFmtId="0" fontId="0" fillId="41" borderId="26" xfId="0" quotePrefix="1" applyFont="1" applyFill="1" applyBorder="1" applyAlignment="1">
      <alignment horizontal="center" wrapText="1"/>
    </xf>
    <xf numFmtId="0" fontId="0" fillId="41" borderId="36" xfId="0" quotePrefix="1" applyFont="1" applyFill="1" applyBorder="1" applyAlignment="1">
      <alignment horizontal="center" wrapText="1"/>
    </xf>
    <xf numFmtId="165" fontId="0" fillId="0" borderId="0" xfId="20" applyNumberFormat="1" applyFont="1"/>
    <xf numFmtId="0" fontId="0" fillId="41" borderId="38" xfId="0" applyFont="1" applyFill="1" applyBorder="1" applyAlignment="1">
      <alignment horizontal="center"/>
    </xf>
    <xf numFmtId="3" fontId="1" fillId="41" borderId="39" xfId="20" applyNumberFormat="1" applyFont="1" applyFill="1" applyBorder="1" applyAlignment="1">
      <alignment horizontal="right"/>
    </xf>
    <xf numFmtId="3" fontId="0" fillId="41" borderId="40" xfId="0" applyNumberFormat="1" applyFont="1" applyFill="1" applyBorder="1" applyAlignment="1">
      <alignment horizontal="right"/>
    </xf>
    <xf numFmtId="164" fontId="1" fillId="41" borderId="40" xfId="56" quotePrefix="1" applyNumberFormat="1" applyFont="1" applyFill="1" applyBorder="1" applyAlignment="1">
      <alignment horizontal="right"/>
    </xf>
    <xf numFmtId="3" fontId="1" fillId="41" borderId="39" xfId="20" applyNumberFormat="1" applyFont="1" applyFill="1" applyBorder="1" applyAlignment="1">
      <alignment horizontal="right" vertical="center"/>
    </xf>
    <xf numFmtId="3" fontId="0" fillId="41" borderId="41" xfId="0" applyNumberFormat="1" applyFont="1" applyFill="1" applyBorder="1" applyAlignment="1">
      <alignment horizontal="right"/>
    </xf>
    <xf numFmtId="164" fontId="1" fillId="41" borderId="41" xfId="56" quotePrefix="1" applyNumberFormat="1" applyFont="1" applyFill="1" applyBorder="1" applyAlignment="1">
      <alignment horizontal="right"/>
    </xf>
    <xf numFmtId="37" fontId="0" fillId="41" borderId="42" xfId="0" applyNumberFormat="1" applyFont="1" applyFill="1" applyBorder="1" applyAlignment="1">
      <alignment horizontal="right"/>
    </xf>
    <xf numFmtId="0" fontId="0" fillId="41" borderId="20" xfId="0" applyFont="1" applyFill="1" applyBorder="1" applyAlignment="1">
      <alignment horizontal="center"/>
    </xf>
    <xf numFmtId="3" fontId="1" fillId="41" borderId="32" xfId="20" applyNumberFormat="1" applyFont="1" applyFill="1" applyBorder="1" applyAlignment="1">
      <alignment horizontal="right"/>
    </xf>
    <xf numFmtId="3" fontId="1" fillId="41" borderId="31" xfId="20" applyNumberFormat="1" applyFont="1" applyFill="1" applyBorder="1" applyAlignment="1">
      <alignment horizontal="right"/>
    </xf>
    <xf numFmtId="164" fontId="1" fillId="41" borderId="31" xfId="56" quotePrefix="1" applyNumberFormat="1" applyFont="1" applyFill="1" applyBorder="1" applyAlignment="1">
      <alignment horizontal="right"/>
    </xf>
    <xf numFmtId="3" fontId="1" fillId="41" borderId="32" xfId="20" applyNumberFormat="1" applyFont="1" applyFill="1" applyBorder="1" applyAlignment="1">
      <alignment horizontal="right" vertical="center"/>
    </xf>
    <xf numFmtId="3" fontId="0" fillId="41" borderId="3" xfId="0" applyNumberFormat="1" applyFont="1" applyFill="1" applyBorder="1" applyAlignment="1">
      <alignment horizontal="right"/>
    </xf>
    <xf numFmtId="164" fontId="1" fillId="41" borderId="3" xfId="56" quotePrefix="1" applyNumberFormat="1" applyFont="1" applyFill="1" applyBorder="1" applyAlignment="1">
      <alignment horizontal="right"/>
    </xf>
    <xf numFmtId="37" fontId="0" fillId="41" borderId="43" xfId="0" applyNumberFormat="1" applyFont="1" applyFill="1" applyBorder="1" applyAlignment="1">
      <alignment horizontal="right"/>
    </xf>
    <xf numFmtId="9" fontId="0" fillId="41" borderId="3" xfId="0" quotePrefix="1" applyNumberFormat="1" applyFont="1" applyFill="1" applyBorder="1" applyAlignment="1">
      <alignment horizontal="right"/>
    </xf>
    <xf numFmtId="0" fontId="0" fillId="41" borderId="22" xfId="0" applyFont="1" applyFill="1" applyBorder="1" applyAlignment="1">
      <alignment horizontal="center"/>
    </xf>
    <xf numFmtId="164" fontId="1" fillId="41" borderId="34" xfId="56" quotePrefix="1" applyNumberFormat="1" applyFont="1" applyFill="1" applyBorder="1" applyAlignment="1">
      <alignment horizontal="right"/>
    </xf>
    <xf numFmtId="3" fontId="1" fillId="41" borderId="35" xfId="20" applyNumberFormat="1" applyFont="1" applyFill="1" applyBorder="1" applyAlignment="1">
      <alignment horizontal="right" vertical="center"/>
    </xf>
    <xf numFmtId="3" fontId="0" fillId="41" borderId="23" xfId="0" applyNumberFormat="1" applyFont="1" applyFill="1" applyBorder="1" applyAlignment="1">
      <alignment horizontal="right"/>
    </xf>
    <xf numFmtId="9" fontId="0" fillId="41" borderId="23" xfId="0" quotePrefix="1" applyNumberFormat="1" applyFont="1" applyFill="1" applyBorder="1" applyAlignment="1">
      <alignment horizontal="right"/>
    </xf>
    <xf numFmtId="37" fontId="0" fillId="41" borderId="44" xfId="0" applyNumberFormat="1" applyFont="1" applyFill="1" applyBorder="1" applyAlignment="1">
      <alignment horizontal="right"/>
    </xf>
    <xf numFmtId="0" fontId="0" fillId="41" borderId="19" xfId="0" quotePrefix="1" applyFont="1" applyFill="1" applyBorder="1" applyAlignment="1">
      <alignment horizontal="left"/>
    </xf>
    <xf numFmtId="0" fontId="0" fillId="41" borderId="20" xfId="0" quotePrefix="1" applyFont="1" applyFill="1" applyBorder="1" applyAlignment="1">
      <alignment horizontal="left"/>
    </xf>
    <xf numFmtId="0" fontId="0" fillId="41" borderId="22" xfId="0" quotePrefix="1" applyFont="1" applyFill="1" applyBorder="1" applyAlignment="1">
      <alignment horizontal="left"/>
    </xf>
    <xf numFmtId="3" fontId="0" fillId="41" borderId="0" xfId="0" applyNumberFormat="1" applyFont="1" applyFill="1"/>
    <xf numFmtId="0" fontId="0" fillId="41" borderId="14" xfId="0" applyFont="1" applyFill="1" applyBorder="1"/>
    <xf numFmtId="0" fontId="0" fillId="41" borderId="16" xfId="0" applyFont="1" applyFill="1" applyBorder="1"/>
    <xf numFmtId="3" fontId="0" fillId="0" borderId="0" xfId="0" applyNumberFormat="1" applyFont="1"/>
    <xf numFmtId="3" fontId="0" fillId="0" borderId="0" xfId="20" applyNumberFormat="1" applyFont="1" applyFill="1" applyAlignment="1">
      <alignment horizontal="center"/>
    </xf>
    <xf numFmtId="3" fontId="1" fillId="41" borderId="0" xfId="20" applyNumberFormat="1" applyFont="1" applyFill="1" applyAlignment="1">
      <alignment horizontal="right"/>
    </xf>
    <xf numFmtId="0" fontId="0" fillId="41" borderId="0" xfId="0" applyFont="1" applyFill="1" applyAlignment="1">
      <alignment horizontal="right"/>
    </xf>
    <xf numFmtId="0" fontId="0" fillId="41" borderId="0" xfId="0" applyFont="1" applyFill="1" applyBorder="1" applyAlignment="1">
      <alignment horizontal="right"/>
    </xf>
    <xf numFmtId="0" fontId="24" fillId="41" borderId="0" xfId="0" applyFont="1" applyFill="1" applyBorder="1" applyAlignment="1">
      <alignment horizontal="right"/>
    </xf>
    <xf numFmtId="0" fontId="24" fillId="41" borderId="0" xfId="0" applyFont="1" applyFill="1" applyAlignment="1">
      <alignment horizontal="right"/>
    </xf>
    <xf numFmtId="0" fontId="0" fillId="41" borderId="0" xfId="0" applyFont="1" applyFill="1" applyAlignment="1">
      <alignment horizontal="left"/>
    </xf>
    <xf numFmtId="5" fontId="0" fillId="41" borderId="0" xfId="0" applyNumberFormat="1" applyFont="1" applyFill="1" applyAlignment="1">
      <alignment horizontal="right"/>
    </xf>
    <xf numFmtId="0" fontId="0" fillId="41" borderId="26" xfId="0" quotePrefix="1" applyFill="1" applyBorder="1" applyAlignment="1">
      <alignment horizontal="center" wrapText="1"/>
    </xf>
    <xf numFmtId="2" fontId="0" fillId="41" borderId="29" xfId="0" quotePrefix="1" applyNumberFormat="1" applyFill="1" applyBorder="1" applyAlignment="1">
      <alignment horizontal="right"/>
    </xf>
    <xf numFmtId="5" fontId="1" fillId="41" borderId="28" xfId="34" quotePrefix="1" applyNumberFormat="1" applyFont="1" applyFill="1" applyBorder="1" applyAlignment="1">
      <alignment horizontal="right"/>
    </xf>
    <xf numFmtId="3" fontId="0" fillId="0" borderId="40" xfId="0" applyNumberFormat="1" applyFont="1" applyFill="1" applyBorder="1" applyAlignment="1">
      <alignment horizontal="right"/>
    </xf>
    <xf numFmtId="3" fontId="0" fillId="0" borderId="31" xfId="20" applyNumberFormat="1" applyFont="1" applyFill="1" applyBorder="1" applyAlignment="1">
      <alignment horizontal="right"/>
    </xf>
    <xf numFmtId="0" fontId="45" fillId="0" borderId="0" xfId="0" applyFont="1"/>
    <xf numFmtId="0" fontId="28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/>
    <xf numFmtId="3" fontId="0" fillId="0" borderId="35" xfId="0" applyNumberFormat="1" applyFont="1" applyFill="1" applyBorder="1" applyAlignment="1">
      <alignment horizontal="right"/>
    </xf>
    <xf numFmtId="3" fontId="0" fillId="0" borderId="34" xfId="0" applyNumberFormat="1" applyFont="1" applyFill="1" applyBorder="1" applyAlignment="1">
      <alignment horizontal="right"/>
    </xf>
    <xf numFmtId="165" fontId="2" fillId="41" borderId="0" xfId="20" applyNumberFormat="1" applyFont="1" applyFill="1" applyAlignment="1">
      <alignment horizontal="center"/>
    </xf>
    <xf numFmtId="165" fontId="2" fillId="41" borderId="0" xfId="20" applyNumberFormat="1" applyFont="1" applyFill="1"/>
    <xf numFmtId="165" fontId="1" fillId="41" borderId="0" xfId="20" applyNumberFormat="1" applyFont="1" applyFill="1" applyAlignment="1">
      <alignment horizontal="center"/>
    </xf>
    <xf numFmtId="165" fontId="1" fillId="41" borderId="0" xfId="20" applyNumberFormat="1" applyFont="1" applyFill="1"/>
    <xf numFmtId="0" fontId="0" fillId="41" borderId="50" xfId="0" quotePrefix="1" applyFill="1" applyBorder="1" applyAlignment="1">
      <alignment horizontal="center" wrapText="1"/>
    </xf>
    <xf numFmtId="0" fontId="46" fillId="0" borderId="0" xfId="0" applyFont="1"/>
    <xf numFmtId="38" fontId="0" fillId="0" borderId="0" xfId="0" applyNumberFormat="1" applyFont="1"/>
    <xf numFmtId="0" fontId="29" fillId="0" borderId="0" xfId="0" applyFont="1"/>
    <xf numFmtId="43" fontId="29" fillId="0" borderId="0" xfId="20" applyFont="1"/>
    <xf numFmtId="166" fontId="2" fillId="0" borderId="0" xfId="20" applyNumberFormat="1" applyFont="1"/>
    <xf numFmtId="0" fontId="35" fillId="0" borderId="0" xfId="0" applyFont="1"/>
    <xf numFmtId="2" fontId="29" fillId="0" borderId="0" xfId="0" applyNumberFormat="1" applyFont="1"/>
    <xf numFmtId="0" fontId="34" fillId="0" borderId="0" xfId="0" quotePrefix="1" applyFont="1" applyAlignment="1">
      <alignment horizontal="centerContinuous"/>
    </xf>
    <xf numFmtId="0" fontId="34" fillId="0" borderId="9" xfId="0" applyFont="1" applyBorder="1" applyAlignment="1">
      <alignment horizontal="center"/>
    </xf>
    <xf numFmtId="2" fontId="34" fillId="0" borderId="9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2" fontId="29" fillId="0" borderId="11" xfId="0" applyNumberFormat="1" applyFont="1" applyBorder="1" applyAlignment="1">
      <alignment horizontal="center"/>
    </xf>
    <xf numFmtId="0" fontId="3" fillId="27" borderId="32" xfId="0" applyFont="1" applyFill="1" applyBorder="1" applyAlignment="1">
      <alignment horizontal="left"/>
    </xf>
    <xf numFmtId="166" fontId="29" fillId="0" borderId="10" xfId="20" applyNumberFormat="1" applyFont="1" applyBorder="1" applyAlignment="1">
      <alignment horizontal="left"/>
    </xf>
    <xf numFmtId="166" fontId="29" fillId="0" borderId="52" xfId="20" applyNumberFormat="1" applyFont="1" applyBorder="1" applyAlignment="1">
      <alignment horizontal="left"/>
    </xf>
    <xf numFmtId="166" fontId="29" fillId="0" borderId="38" xfId="20" applyNumberFormat="1" applyFont="1" applyBorder="1" applyAlignment="1">
      <alignment horizontal="left"/>
    </xf>
    <xf numFmtId="2" fontId="29" fillId="0" borderId="12" xfId="20" applyNumberFormat="1" applyFont="1" applyBorder="1" applyAlignment="1">
      <alignment horizontal="left"/>
    </xf>
    <xf numFmtId="166" fontId="29" fillId="0" borderId="40" xfId="20" applyNumberFormat="1" applyFont="1" applyBorder="1" applyAlignment="1">
      <alignment horizontal="left"/>
    </xf>
    <xf numFmtId="165" fontId="2" fillId="0" borderId="32" xfId="0" applyNumberFormat="1" applyFont="1" applyFill="1" applyBorder="1" applyAlignment="1"/>
    <xf numFmtId="43" fontId="29" fillId="0" borderId="10" xfId="20" applyFont="1" applyFill="1" applyBorder="1" applyAlignment="1"/>
    <xf numFmtId="166" fontId="2" fillId="0" borderId="0" xfId="20" applyNumberFormat="1" applyFont="1" applyFill="1"/>
    <xf numFmtId="43" fontId="29" fillId="0" borderId="20" xfId="20" applyFont="1" applyFill="1" applyBorder="1" applyAlignment="1"/>
    <xf numFmtId="43" fontId="29" fillId="0" borderId="31" xfId="20" applyFont="1" applyFill="1" applyBorder="1" applyAlignment="1"/>
    <xf numFmtId="166" fontId="29" fillId="0" borderId="10" xfId="20" applyNumberFormat="1" applyFont="1" applyFill="1" applyBorder="1" applyAlignment="1"/>
    <xf numFmtId="165" fontId="2" fillId="0" borderId="32" xfId="0" applyNumberFormat="1" applyFont="1" applyBorder="1" applyAlignment="1"/>
    <xf numFmtId="43" fontId="29" fillId="0" borderId="10" xfId="20" applyFont="1" applyBorder="1" applyAlignment="1"/>
    <xf numFmtId="0" fontId="2" fillId="21" borderId="32" xfId="0" applyFont="1" applyFill="1" applyBorder="1"/>
    <xf numFmtId="43" fontId="29" fillId="21" borderId="10" xfId="20" applyFont="1" applyFill="1" applyBorder="1"/>
    <xf numFmtId="43" fontId="29" fillId="21" borderId="52" xfId="20" applyFont="1" applyFill="1" applyBorder="1"/>
    <xf numFmtId="0" fontId="3" fillId="27" borderId="32" xfId="0" quotePrefix="1" applyFont="1" applyFill="1" applyBorder="1" applyAlignment="1">
      <alignment horizontal="left"/>
    </xf>
    <xf numFmtId="43" fontId="29" fillId="0" borderId="10" xfId="20" quotePrefix="1" applyFont="1" applyBorder="1" applyAlignment="1">
      <alignment horizontal="left"/>
    </xf>
    <xf numFmtId="2" fontId="29" fillId="0" borderId="10" xfId="20" applyNumberFormat="1" applyFont="1" applyFill="1" applyBorder="1" applyAlignment="1"/>
    <xf numFmtId="43" fontId="29" fillId="0" borderId="10" xfId="20" quotePrefix="1" applyFont="1" applyFill="1" applyBorder="1" applyAlignment="1">
      <alignment horizontal="left"/>
    </xf>
    <xf numFmtId="165" fontId="2" fillId="0" borderId="35" xfId="0" applyNumberFormat="1" applyFont="1" applyBorder="1" applyAlignment="1"/>
    <xf numFmtId="43" fontId="29" fillId="0" borderId="21" xfId="20" applyFont="1" applyBorder="1" applyAlignment="1"/>
    <xf numFmtId="2" fontId="29" fillId="0" borderId="0" xfId="20" applyNumberFormat="1" applyFont="1"/>
    <xf numFmtId="0" fontId="29" fillId="0" borderId="49" xfId="0" applyFont="1" applyBorder="1"/>
    <xf numFmtId="0" fontId="29" fillId="0" borderId="49" xfId="20" applyNumberFormat="1" applyFont="1" applyBorder="1" applyAlignment="1">
      <alignment horizontal="center"/>
    </xf>
    <xf numFmtId="2" fontId="29" fillId="0" borderId="12" xfId="0" applyNumberFormat="1" applyFont="1" applyBorder="1" applyAlignment="1">
      <alignment horizontal="center"/>
    </xf>
    <xf numFmtId="165" fontId="29" fillId="0" borderId="49" xfId="0" applyNumberFormat="1" applyFont="1" applyBorder="1" applyAlignment="1"/>
    <xf numFmtId="43" fontId="29" fillId="0" borderId="49" xfId="20" applyFont="1" applyBorder="1" applyAlignment="1"/>
    <xf numFmtId="2" fontId="29" fillId="0" borderId="49" xfId="20" applyNumberFormat="1" applyFont="1" applyBorder="1" applyAlignment="1"/>
    <xf numFmtId="43" fontId="29" fillId="21" borderId="0" xfId="20" applyFont="1" applyFill="1"/>
    <xf numFmtId="166" fontId="2" fillId="21" borderId="0" xfId="20" applyNumberFormat="1" applyFont="1" applyFill="1"/>
    <xf numFmtId="2" fontId="29" fillId="21" borderId="0" xfId="20" applyNumberFormat="1" applyFont="1" applyFill="1"/>
    <xf numFmtId="0" fontId="29" fillId="0" borderId="53" xfId="0" applyFont="1" applyBorder="1"/>
    <xf numFmtId="0" fontId="2" fillId="0" borderId="54" xfId="0" applyFont="1" applyBorder="1"/>
    <xf numFmtId="166" fontId="2" fillId="0" borderId="54" xfId="20" applyNumberFormat="1" applyFont="1" applyBorder="1"/>
    <xf numFmtId="177" fontId="29" fillId="0" borderId="55" xfId="20" applyNumberFormat="1" applyFont="1" applyBorder="1"/>
    <xf numFmtId="0" fontId="29" fillId="0" borderId="56" xfId="0" applyFont="1" applyBorder="1"/>
    <xf numFmtId="0" fontId="2" fillId="0" borderId="57" xfId="0" applyFont="1" applyBorder="1"/>
    <xf numFmtId="166" fontId="2" fillId="0" borderId="57" xfId="20" applyNumberFormat="1" applyFont="1" applyBorder="1"/>
    <xf numFmtId="177" fontId="29" fillId="0" borderId="58" xfId="20" applyNumberFormat="1" applyFont="1" applyBorder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quotePrefix="1" applyFont="1" applyAlignment="1">
      <alignment horizontal="centerContinuous"/>
    </xf>
    <xf numFmtId="0" fontId="27" fillId="0" borderId="0" xfId="0" applyFont="1"/>
    <xf numFmtId="2" fontId="34" fillId="0" borderId="0" xfId="0" quotePrefix="1" applyNumberFormat="1" applyFont="1" applyAlignment="1">
      <alignment horizontal="centerContinuous"/>
    </xf>
    <xf numFmtId="2" fontId="29" fillId="0" borderId="10" xfId="20" applyNumberFormat="1" applyFont="1" applyBorder="1" applyAlignment="1">
      <alignment horizontal="left"/>
    </xf>
    <xf numFmtId="2" fontId="29" fillId="21" borderId="10" xfId="20" applyNumberFormat="1" applyFont="1" applyFill="1" applyBorder="1"/>
    <xf numFmtId="2" fontId="29" fillId="0" borderId="10" xfId="20" quotePrefix="1" applyNumberFormat="1" applyFont="1" applyBorder="1" applyAlignment="1">
      <alignment horizontal="left"/>
    </xf>
    <xf numFmtId="0" fontId="2" fillId="0" borderId="0" xfId="0" applyFont="1" applyAlignment="1">
      <alignment horizontal="right"/>
    </xf>
    <xf numFmtId="0" fontId="29" fillId="0" borderId="0" xfId="0" applyFont="1" applyFill="1" applyBorder="1" applyAlignment="1">
      <alignment horizontal="center"/>
    </xf>
    <xf numFmtId="0" fontId="3" fillId="27" borderId="32" xfId="0" applyFont="1" applyFill="1" applyBorder="1" applyAlignment="1">
      <alignment horizontal="center"/>
    </xf>
    <xf numFmtId="3" fontId="41" fillId="0" borderId="0" xfId="0" applyNumberFormat="1" applyFont="1"/>
    <xf numFmtId="0" fontId="47" fillId="41" borderId="0" xfId="0" quotePrefix="1" applyFont="1" applyFill="1" applyAlignment="1">
      <alignment horizontal="left"/>
    </xf>
    <xf numFmtId="0" fontId="3" fillId="0" borderId="32" xfId="0" applyFont="1" applyFill="1" applyBorder="1" applyAlignment="1">
      <alignment horizontal="center"/>
    </xf>
    <xf numFmtId="5" fontId="1" fillId="0" borderId="31" xfId="34" applyNumberFormat="1" applyFont="1" applyFill="1" applyBorder="1"/>
    <xf numFmtId="0" fontId="44" fillId="0" borderId="0" xfId="55" applyFont="1"/>
    <xf numFmtId="165" fontId="0" fillId="0" borderId="0" xfId="33" applyNumberFormat="1" applyFont="1"/>
    <xf numFmtId="0" fontId="43" fillId="0" borderId="0" xfId="55"/>
    <xf numFmtId="0" fontId="0" fillId="0" borderId="51" xfId="33" applyNumberFormat="1" applyFont="1" applyBorder="1" applyAlignment="1">
      <alignment horizontal="center"/>
    </xf>
    <xf numFmtId="165" fontId="0" fillId="0" borderId="42" xfId="33" applyNumberFormat="1" applyFont="1" applyBorder="1" applyAlignment="1">
      <alignment horizontal="center"/>
    </xf>
    <xf numFmtId="0" fontId="4" fillId="0" borderId="32" xfId="89" quotePrefix="1" applyFont="1" applyFill="1" applyBorder="1" applyAlignment="1">
      <alignment horizontal="left" vertical="center" indent="1"/>
    </xf>
    <xf numFmtId="165" fontId="0" fillId="0" borderId="43" xfId="33" applyNumberFormat="1" applyFont="1" applyBorder="1"/>
    <xf numFmtId="171" fontId="0" fillId="0" borderId="0" xfId="38" applyNumberFormat="1" applyFont="1"/>
    <xf numFmtId="0" fontId="4" fillId="0" borderId="32" xfId="89" quotePrefix="1" applyFont="1" applyFill="1" applyBorder="1">
      <alignment horizontal="left" vertical="center" indent="1"/>
    </xf>
    <xf numFmtId="0" fontId="4" fillId="0" borderId="0" xfId="55" applyFont="1" applyFill="1" applyBorder="1"/>
    <xf numFmtId="0" fontId="48" fillId="0" borderId="0" xfId="0" applyFont="1"/>
    <xf numFmtId="5" fontId="1" fillId="0" borderId="34" xfId="0" applyNumberFormat="1" applyFont="1" applyFill="1" applyBorder="1"/>
    <xf numFmtId="5" fontId="1" fillId="0" borderId="34" xfId="0" quotePrefix="1" applyNumberFormat="1" applyFont="1" applyFill="1" applyBorder="1" applyAlignment="1">
      <alignment horizontal="right"/>
    </xf>
    <xf numFmtId="5" fontId="1" fillId="0" borderId="34" xfId="0" applyNumberFormat="1" applyFont="1" applyFill="1" applyBorder="1" applyAlignment="1">
      <alignment horizontal="right"/>
    </xf>
    <xf numFmtId="3" fontId="1" fillId="0" borderId="32" xfId="20" applyNumberFormat="1" applyFont="1" applyFill="1" applyBorder="1" applyAlignment="1">
      <alignment horizontal="right" vertical="center"/>
    </xf>
    <xf numFmtId="43" fontId="29" fillId="0" borderId="10" xfId="20" applyNumberFormat="1" applyFont="1" applyFill="1" applyBorder="1" applyAlignment="1"/>
    <xf numFmtId="43" fontId="29" fillId="21" borderId="10" xfId="20" applyNumberFormat="1" applyFont="1" applyFill="1" applyBorder="1"/>
    <xf numFmtId="43" fontId="29" fillId="0" borderId="10" xfId="20" quotePrefix="1" applyNumberFormat="1" applyFont="1" applyBorder="1" applyAlignment="1">
      <alignment horizontal="left"/>
    </xf>
    <xf numFmtId="0" fontId="2" fillId="27" borderId="32" xfId="0" applyFont="1" applyFill="1" applyBorder="1" applyAlignment="1">
      <alignment horizontal="center"/>
    </xf>
    <xf numFmtId="181" fontId="46" fillId="41" borderId="0" xfId="56" applyNumberFormat="1" applyFont="1" applyFill="1"/>
    <xf numFmtId="43" fontId="29" fillId="42" borderId="10" xfId="20" applyFont="1" applyFill="1" applyBorder="1" applyAlignment="1"/>
    <xf numFmtId="43" fontId="29" fillId="42" borderId="20" xfId="20" applyFont="1" applyFill="1" applyBorder="1" applyAlignment="1"/>
    <xf numFmtId="2" fontId="29" fillId="42" borderId="10" xfId="20" applyNumberFormat="1" applyFont="1" applyFill="1" applyBorder="1" applyAlignment="1"/>
    <xf numFmtId="166" fontId="29" fillId="42" borderId="10" xfId="20" applyNumberFormat="1" applyFont="1" applyFill="1" applyBorder="1" applyAlignment="1"/>
    <xf numFmtId="2" fontId="29" fillId="0" borderId="10" xfId="20" quotePrefix="1" applyNumberFormat="1" applyFont="1" applyFill="1" applyBorder="1" applyAlignment="1">
      <alignment horizontal="left"/>
    </xf>
    <xf numFmtId="43" fontId="29" fillId="0" borderId="10" xfId="20" quotePrefix="1" applyNumberFormat="1" applyFont="1" applyFill="1" applyBorder="1" applyAlignment="1">
      <alignment horizontal="left"/>
    </xf>
    <xf numFmtId="43" fontId="29" fillId="42" borderId="21" xfId="20" applyFont="1" applyFill="1" applyBorder="1" applyAlignment="1"/>
    <xf numFmtId="166" fontId="29" fillId="42" borderId="21" xfId="20" applyNumberFormat="1" applyFont="1" applyFill="1" applyBorder="1" applyAlignment="1"/>
    <xf numFmtId="0" fontId="43" fillId="0" borderId="0" xfId="55" applyFill="1"/>
    <xf numFmtId="5" fontId="1" fillId="41" borderId="34" xfId="0" quotePrefix="1" applyNumberFormat="1" applyFont="1" applyFill="1" applyBorder="1" applyAlignment="1">
      <alignment horizontal="right"/>
    </xf>
    <xf numFmtId="2" fontId="50" fillId="0" borderId="0" xfId="0" applyNumberFormat="1" applyFont="1" applyFill="1" applyBorder="1" applyAlignment="1">
      <alignment horizontal="right" vertical="top"/>
    </xf>
    <xf numFmtId="2" fontId="4" fillId="0" borderId="0" xfId="0" applyNumberFormat="1" applyFont="1" applyAlignment="1">
      <alignment horizontal="right"/>
    </xf>
    <xf numFmtId="2" fontId="0" fillId="0" borderId="0" xfId="0" applyNumberFormat="1" applyFont="1"/>
    <xf numFmtId="179" fontId="29" fillId="0" borderId="10" xfId="20" applyNumberFormat="1" applyFont="1" applyFill="1" applyBorder="1" applyAlignment="1"/>
    <xf numFmtId="172" fontId="2" fillId="0" borderId="0" xfId="0" applyNumberFormat="1" applyFont="1"/>
    <xf numFmtId="0" fontId="49" fillId="0" borderId="0" xfId="0" applyFont="1"/>
    <xf numFmtId="180" fontId="2" fillId="0" borderId="0" xfId="0" applyNumberFormat="1" applyFont="1"/>
    <xf numFmtId="178" fontId="49" fillId="0" borderId="0" xfId="0" applyNumberFormat="1" applyFont="1"/>
    <xf numFmtId="0" fontId="48" fillId="0" borderId="0" xfId="0" applyFont="1" applyAlignment="1">
      <alignment horizontal="right"/>
    </xf>
    <xf numFmtId="43" fontId="48" fillId="0" borderId="0" xfId="0" applyNumberFormat="1" applyFont="1" applyFill="1"/>
    <xf numFmtId="0" fontId="48" fillId="0" borderId="0" xfId="0" applyFont="1" applyFill="1"/>
    <xf numFmtId="0" fontId="0" fillId="42" borderId="26" xfId="0" quotePrefix="1" applyFont="1" applyFill="1" applyBorder="1" applyAlignment="1">
      <alignment horizontal="center"/>
    </xf>
    <xf numFmtId="0" fontId="0" fillId="42" borderId="15" xfId="0" quotePrefix="1" applyFont="1" applyFill="1" applyBorder="1" applyAlignment="1">
      <alignment horizontal="center"/>
    </xf>
    <xf numFmtId="2" fontId="0" fillId="42" borderId="29" xfId="0" applyNumberFormat="1" applyFont="1" applyFill="1" applyBorder="1" applyAlignment="1">
      <alignment horizontal="right"/>
    </xf>
    <xf numFmtId="2" fontId="0" fillId="42" borderId="28" xfId="0" applyNumberFormat="1" applyFont="1" applyFill="1" applyBorder="1" applyAlignment="1">
      <alignment horizontal="right"/>
    </xf>
    <xf numFmtId="2" fontId="0" fillId="42" borderId="32" xfId="0" applyNumberFormat="1" applyFont="1" applyFill="1" applyBorder="1" applyAlignment="1">
      <alignment horizontal="right"/>
    </xf>
    <xf numFmtId="2" fontId="0" fillId="42" borderId="31" xfId="0" applyNumberFormat="1" applyFont="1" applyFill="1" applyBorder="1" applyAlignment="1">
      <alignment horizontal="right"/>
    </xf>
    <xf numFmtId="3" fontId="1" fillId="42" borderId="35" xfId="20" applyNumberFormat="1" applyFont="1" applyFill="1" applyBorder="1" applyAlignment="1">
      <alignment horizontal="right"/>
    </xf>
    <xf numFmtId="3" fontId="1" fillId="42" borderId="34" xfId="20" applyNumberFormat="1" applyFont="1" applyFill="1" applyBorder="1" applyAlignment="1">
      <alignment horizontal="right"/>
    </xf>
    <xf numFmtId="0" fontId="0" fillId="42" borderId="13" xfId="0" quotePrefix="1" applyFont="1" applyFill="1" applyBorder="1" applyAlignment="1"/>
    <xf numFmtId="0" fontId="0" fillId="42" borderId="15" xfId="0" quotePrefix="1" applyFont="1" applyFill="1" applyBorder="1" applyAlignment="1"/>
    <xf numFmtId="0" fontId="26" fillId="0" borderId="0" xfId="0" quotePrefix="1" applyFont="1" applyFill="1" applyAlignment="1">
      <alignment horizontal="left"/>
    </xf>
    <xf numFmtId="3" fontId="1" fillId="0" borderId="0" xfId="20" applyNumberFormat="1" applyFont="1" applyFill="1" applyBorder="1" applyAlignment="1">
      <alignment horizontal="right"/>
    </xf>
    <xf numFmtId="0" fontId="0" fillId="0" borderId="0" xfId="0" applyFill="1" applyBorder="1"/>
    <xf numFmtId="3" fontId="0" fillId="0" borderId="0" xfId="0" applyNumberFormat="1" applyFont="1" applyFill="1" applyBorder="1"/>
    <xf numFmtId="0" fontId="0" fillId="0" borderId="0" xfId="0" quotePrefix="1" applyFont="1" applyFill="1" applyBorder="1" applyAlignment="1"/>
    <xf numFmtId="0" fontId="0" fillId="0" borderId="0" xfId="0" quotePrefix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/>
    <xf numFmtId="43" fontId="2" fillId="0" borderId="0" xfId="0" applyNumberFormat="1" applyFont="1"/>
    <xf numFmtId="0" fontId="4" fillId="0" borderId="35" xfId="89" applyFont="1" applyFill="1" applyBorder="1">
      <alignment horizontal="left" vertical="center" indent="1"/>
    </xf>
    <xf numFmtId="165" fontId="0" fillId="0" borderId="44" xfId="33" applyNumberFormat="1" applyFont="1" applyBorder="1"/>
    <xf numFmtId="0" fontId="29" fillId="41" borderId="0" xfId="0" quotePrefix="1" applyFont="1" applyFill="1" applyAlignment="1">
      <alignment horizontal="left"/>
    </xf>
    <xf numFmtId="0" fontId="2" fillId="41" borderId="0" xfId="0" applyFont="1" applyFill="1"/>
    <xf numFmtId="0" fontId="3" fillId="41" borderId="0" xfId="0" applyFont="1" applyFill="1"/>
    <xf numFmtId="14" fontId="3" fillId="41" borderId="0" xfId="0" applyNumberFormat="1" applyFont="1" applyFill="1" applyAlignment="1">
      <alignment wrapText="1"/>
    </xf>
    <xf numFmtId="0" fontId="3" fillId="41" borderId="0" xfId="0" applyFont="1" applyFill="1" applyAlignment="1">
      <alignment wrapText="1"/>
    </xf>
    <xf numFmtId="0" fontId="3" fillId="41" borderId="0" xfId="0" quotePrefix="1" applyFont="1" applyFill="1" applyAlignment="1">
      <alignment horizontal="left"/>
    </xf>
    <xf numFmtId="0" fontId="30" fillId="41" borderId="45" xfId="0" applyFont="1" applyFill="1" applyBorder="1" applyAlignment="1">
      <alignment horizontal="center"/>
    </xf>
    <xf numFmtId="0" fontId="30" fillId="41" borderId="0" xfId="0" applyFont="1" applyFill="1" applyBorder="1" applyAlignment="1">
      <alignment horizontal="center"/>
    </xf>
    <xf numFmtId="0" fontId="30" fillId="41" borderId="25" xfId="0" applyFont="1" applyFill="1" applyBorder="1" applyAlignment="1">
      <alignment horizontal="center"/>
    </xf>
    <xf numFmtId="3" fontId="3" fillId="41" borderId="6" xfId="0" applyNumberFormat="1" applyFont="1" applyFill="1" applyBorder="1" applyAlignment="1">
      <alignment horizontal="right"/>
    </xf>
    <xf numFmtId="3" fontId="3" fillId="41" borderId="24" xfId="0" applyNumberFormat="1" applyFont="1" applyFill="1" applyBorder="1" applyAlignment="1">
      <alignment horizontal="right"/>
    </xf>
    <xf numFmtId="3" fontId="3" fillId="41" borderId="8" xfId="0" applyNumberFormat="1" applyFont="1" applyFill="1" applyBorder="1" applyAlignment="1">
      <alignment horizontal="right"/>
    </xf>
    <xf numFmtId="0" fontId="2" fillId="41" borderId="0" xfId="0" quotePrefix="1" applyFont="1" applyFill="1" applyAlignment="1">
      <alignment horizontal="left"/>
    </xf>
    <xf numFmtId="164" fontId="2" fillId="41" borderId="45" xfId="0" applyNumberFormat="1" applyFont="1" applyFill="1" applyBorder="1" applyAlignment="1">
      <alignment horizontal="right"/>
    </xf>
    <xf numFmtId="164" fontId="2" fillId="41" borderId="0" xfId="0" applyNumberFormat="1" applyFont="1" applyFill="1" applyBorder="1" applyAlignment="1">
      <alignment horizontal="right"/>
    </xf>
    <xf numFmtId="164" fontId="2" fillId="41" borderId="25" xfId="0" applyNumberFormat="1" applyFont="1" applyFill="1" applyBorder="1" applyAlignment="1">
      <alignment horizontal="right"/>
    </xf>
    <xf numFmtId="10" fontId="2" fillId="41" borderId="45" xfId="0" applyNumberFormat="1" applyFont="1" applyFill="1" applyBorder="1" applyAlignment="1">
      <alignment horizontal="right"/>
    </xf>
    <xf numFmtId="10" fontId="2" fillId="41" borderId="0" xfId="0" applyNumberFormat="1" applyFont="1" applyFill="1" applyBorder="1" applyAlignment="1">
      <alignment horizontal="right"/>
    </xf>
    <xf numFmtId="0" fontId="2" fillId="41" borderId="25" xfId="0" applyFont="1" applyFill="1" applyBorder="1" applyAlignment="1">
      <alignment horizontal="right"/>
    </xf>
    <xf numFmtId="0" fontId="2" fillId="41" borderId="0" xfId="0" applyFont="1" applyFill="1" applyAlignment="1">
      <alignment horizontal="left"/>
    </xf>
    <xf numFmtId="3" fontId="2" fillId="41" borderId="45" xfId="29" applyNumberFormat="1" applyFont="1" applyFill="1" applyBorder="1" applyAlignment="1">
      <alignment horizontal="right"/>
    </xf>
    <xf numFmtId="3" fontId="2" fillId="41" borderId="0" xfId="29" applyNumberFormat="1" applyFont="1" applyFill="1" applyBorder="1" applyAlignment="1">
      <alignment horizontal="right"/>
    </xf>
    <xf numFmtId="3" fontId="2" fillId="41" borderId="0" xfId="0" applyNumberFormat="1" applyFont="1" applyFill="1" applyBorder="1" applyAlignment="1">
      <alignment horizontal="right"/>
    </xf>
    <xf numFmtId="3" fontId="2" fillId="41" borderId="25" xfId="29" applyNumberFormat="1" applyFont="1" applyFill="1" applyBorder="1" applyAlignment="1">
      <alignment horizontal="right"/>
    </xf>
    <xf numFmtId="0" fontId="3" fillId="41" borderId="0" xfId="0" applyFont="1" applyFill="1" applyAlignment="1">
      <alignment horizontal="left"/>
    </xf>
    <xf numFmtId="3" fontId="3" fillId="41" borderId="46" xfId="0" applyNumberFormat="1" applyFont="1" applyFill="1" applyBorder="1" applyAlignment="1">
      <alignment horizontal="right"/>
    </xf>
    <xf numFmtId="3" fontId="3" fillId="41" borderId="47" xfId="0" applyNumberFormat="1" applyFont="1" applyFill="1" applyBorder="1" applyAlignment="1">
      <alignment horizontal="right"/>
    </xf>
    <xf numFmtId="3" fontId="3" fillId="41" borderId="48" xfId="0" applyNumberFormat="1" applyFont="1" applyFill="1" applyBorder="1" applyAlignment="1">
      <alignment horizontal="right"/>
    </xf>
    <xf numFmtId="3" fontId="5" fillId="41" borderId="45" xfId="0" applyNumberFormat="1" applyFont="1" applyFill="1" applyBorder="1" applyAlignment="1">
      <alignment horizontal="center"/>
    </xf>
    <xf numFmtId="3" fontId="5" fillId="41" borderId="0" xfId="0" applyNumberFormat="1" applyFont="1" applyFill="1" applyBorder="1" applyAlignment="1">
      <alignment horizontal="center"/>
    </xf>
    <xf numFmtId="3" fontId="2" fillId="41" borderId="0" xfId="0" applyNumberFormat="1" applyFont="1" applyFill="1" applyBorder="1" applyAlignment="1">
      <alignment horizontal="center"/>
    </xf>
    <xf numFmtId="0" fontId="2" fillId="41" borderId="25" xfId="0" applyFont="1" applyFill="1" applyBorder="1" applyAlignment="1">
      <alignment horizontal="center"/>
    </xf>
    <xf numFmtId="37" fontId="31" fillId="41" borderId="45" xfId="0" applyNumberFormat="1" applyFont="1" applyFill="1" applyBorder="1" applyAlignment="1">
      <alignment horizontal="right"/>
    </xf>
    <xf numFmtId="37" fontId="31" fillId="41" borderId="0" xfId="0" applyNumberFormat="1" applyFont="1" applyFill="1" applyBorder="1" applyAlignment="1">
      <alignment horizontal="right"/>
    </xf>
    <xf numFmtId="37" fontId="31" fillId="41" borderId="25" xfId="0" applyNumberFormat="1" applyFont="1" applyFill="1" applyBorder="1" applyAlignment="1">
      <alignment horizontal="right"/>
    </xf>
    <xf numFmtId="0" fontId="48" fillId="41" borderId="0" xfId="0" applyFont="1" applyFill="1"/>
    <xf numFmtId="37" fontId="2" fillId="41" borderId="45" xfId="20" applyNumberFormat="1" applyFont="1" applyFill="1" applyBorder="1" applyAlignment="1">
      <alignment horizontal="right"/>
    </xf>
    <xf numFmtId="37" fontId="2" fillId="41" borderId="0" xfId="20" applyNumberFormat="1" applyFont="1" applyFill="1" applyBorder="1" applyAlignment="1">
      <alignment horizontal="right"/>
    </xf>
    <xf numFmtId="37" fontId="2" fillId="41" borderId="25" xfId="20" applyNumberFormat="1" applyFont="1" applyFill="1" applyBorder="1" applyAlignment="1">
      <alignment horizontal="right"/>
    </xf>
    <xf numFmtId="3" fontId="2" fillId="41" borderId="45" xfId="0" applyNumberFormat="1" applyFont="1" applyFill="1" applyBorder="1" applyAlignment="1">
      <alignment horizontal="right"/>
    </xf>
    <xf numFmtId="0" fontId="32" fillId="41" borderId="0" xfId="0" applyFont="1" applyFill="1"/>
    <xf numFmtId="0" fontId="2" fillId="41" borderId="0" xfId="0" quotePrefix="1" applyFont="1" applyFill="1" applyAlignment="1">
      <alignment horizontal="left" vertical="top" wrapText="1"/>
    </xf>
    <xf numFmtId="0" fontId="2" fillId="41" borderId="0" xfId="0" applyFont="1" applyFill="1" applyAlignment="1">
      <alignment vertical="top"/>
    </xf>
    <xf numFmtId="0" fontId="48" fillId="41" borderId="0" xfId="0" applyFont="1" applyFill="1" applyAlignment="1">
      <alignment vertical="top"/>
    </xf>
    <xf numFmtId="10" fontId="79" fillId="41" borderId="0" xfId="56" applyNumberFormat="1" applyFont="1" applyFill="1" applyBorder="1"/>
    <xf numFmtId="0" fontId="30" fillId="41" borderId="0" xfId="0" applyFont="1" applyFill="1"/>
    <xf numFmtId="0" fontId="2" fillId="41" borderId="0" xfId="0" quotePrefix="1" applyFont="1" applyFill="1" applyBorder="1" applyAlignment="1">
      <alignment horizontal="left"/>
    </xf>
    <xf numFmtId="10" fontId="78" fillId="41" borderId="0" xfId="56" applyNumberFormat="1" applyFont="1" applyFill="1" applyBorder="1"/>
    <xf numFmtId="20" fontId="80" fillId="41" borderId="13" xfId="0" applyNumberFormat="1" applyFont="1" applyFill="1" applyBorder="1" applyAlignment="1">
      <alignment horizontal="left" vertical="top" wrapText="1"/>
    </xf>
    <xf numFmtId="5" fontId="81" fillId="41" borderId="13" xfId="0" applyNumberFormat="1" applyFont="1" applyFill="1" applyBorder="1" applyAlignment="1">
      <alignment horizontal="right" vertical="top"/>
    </xf>
    <xf numFmtId="5" fontId="81" fillId="41" borderId="72" xfId="0" applyNumberFormat="1" applyFont="1" applyFill="1" applyBorder="1" applyAlignment="1">
      <alignment horizontal="right" vertical="top"/>
    </xf>
    <xf numFmtId="5" fontId="81" fillId="41" borderId="50" xfId="0" applyNumberFormat="1" applyFont="1" applyFill="1" applyBorder="1" applyAlignment="1">
      <alignment horizontal="right" vertical="top"/>
    </xf>
    <xf numFmtId="0" fontId="0" fillId="41" borderId="13" xfId="0" quotePrefix="1" applyFont="1" applyFill="1" applyBorder="1" applyAlignment="1">
      <alignment horizontal="center"/>
    </xf>
    <xf numFmtId="0" fontId="0" fillId="41" borderId="15" xfId="0" quotePrefix="1" applyFont="1" applyFill="1" applyBorder="1" applyAlignment="1">
      <alignment horizontal="center"/>
    </xf>
    <xf numFmtId="0" fontId="0" fillId="41" borderId="13" xfId="0" quotePrefix="1" applyFill="1" applyBorder="1" applyAlignment="1">
      <alignment horizontal="center"/>
    </xf>
    <xf numFmtId="43" fontId="24" fillId="41" borderId="13" xfId="20" quotePrefix="1" applyFont="1" applyFill="1" applyBorder="1" applyAlignment="1">
      <alignment horizontal="center"/>
    </xf>
    <xf numFmtId="43" fontId="24" fillId="41" borderId="15" xfId="20" quotePrefix="1" applyFont="1" applyFill="1" applyBorder="1" applyAlignment="1">
      <alignment horizontal="center"/>
    </xf>
    <xf numFmtId="43" fontId="24" fillId="41" borderId="14" xfId="20" quotePrefix="1" applyFont="1" applyFill="1" applyBorder="1" applyAlignment="1">
      <alignment horizontal="center"/>
    </xf>
    <xf numFmtId="0" fontId="29" fillId="41" borderId="13" xfId="0" quotePrefix="1" applyFont="1" applyFill="1" applyBorder="1" applyAlignment="1">
      <alignment horizontal="center" wrapText="1"/>
    </xf>
    <xf numFmtId="0" fontId="29" fillId="41" borderId="14" xfId="0" applyFont="1" applyFill="1" applyBorder="1" applyAlignment="1">
      <alignment horizontal="center" wrapText="1"/>
    </xf>
    <xf numFmtId="0" fontId="29" fillId="41" borderId="15" xfId="0" applyFont="1" applyFill="1" applyBorder="1" applyAlignment="1">
      <alignment horizontal="center" wrapText="1"/>
    </xf>
    <xf numFmtId="0" fontId="42" fillId="0" borderId="29" xfId="65" quotePrefix="1" applyNumberFormat="1" applyFont="1" applyFill="1" applyBorder="1" applyAlignment="1">
      <alignment horizontal="center"/>
    </xf>
    <xf numFmtId="0" fontId="42" fillId="0" borderId="32" xfId="65" quotePrefix="1" applyNumberFormat="1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2" fontId="29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21" borderId="0" xfId="0" applyFont="1" applyFill="1" applyAlignment="1">
      <alignment horizontal="left"/>
    </xf>
    <xf numFmtId="0" fontId="44" fillId="0" borderId="0" xfId="55" applyFont="1" applyAlignment="1">
      <alignment horizontal="left"/>
    </xf>
    <xf numFmtId="165" fontId="24" fillId="0" borderId="0" xfId="33" applyNumberFormat="1" applyFont="1" applyAlignment="1">
      <alignment horizontal="left"/>
    </xf>
  </cellXfs>
  <cellStyles count="231">
    <cellStyle name="20% - Accent1 2" xfId="172"/>
    <cellStyle name="20% - Accent1 3" xfId="109"/>
    <cellStyle name="20% - Accent2 2" xfId="173"/>
    <cellStyle name="20% - Accent2 3" xfId="110"/>
    <cellStyle name="20% - Accent3 2" xfId="174"/>
    <cellStyle name="20% - Accent3 3" xfId="111"/>
    <cellStyle name="20% - Accent4 2" xfId="175"/>
    <cellStyle name="20% - Accent4 3" xfId="112"/>
    <cellStyle name="20% - Accent5 2" xfId="176"/>
    <cellStyle name="20% - Accent5 3" xfId="113"/>
    <cellStyle name="20% - Accent6 2" xfId="177"/>
    <cellStyle name="20% - Accent6 3" xfId="114"/>
    <cellStyle name="40% - Accent1 2" xfId="178"/>
    <cellStyle name="40% - Accent1 3" xfId="115"/>
    <cellStyle name="40% - Accent2 2" xfId="116"/>
    <cellStyle name="40% - Accent3 2" xfId="179"/>
    <cellStyle name="40% - Accent3 3" xfId="117"/>
    <cellStyle name="40% - Accent4 2" xfId="180"/>
    <cellStyle name="40% - Accent4 3" xfId="118"/>
    <cellStyle name="40% - Accent5 2" xfId="181"/>
    <cellStyle name="40% - Accent5 3" xfId="119"/>
    <cellStyle name="40% - Accent6 2" xfId="182"/>
    <cellStyle name="40% - Accent6 3" xfId="120"/>
    <cellStyle name="60% - Accent1 2" xfId="183"/>
    <cellStyle name="60% - Accent1 3" xfId="121"/>
    <cellStyle name="60% - Accent2 2" xfId="122"/>
    <cellStyle name="60% - Accent3 2" xfId="184"/>
    <cellStyle name="60% - Accent3 3" xfId="123"/>
    <cellStyle name="60% - Accent4 2" xfId="185"/>
    <cellStyle name="60% - Accent4 3" xfId="124"/>
    <cellStyle name="60% - Accent5 2" xfId="186"/>
    <cellStyle name="60% - Accent5 3" xfId="125"/>
    <cellStyle name="60% - Accent6 2" xfId="187"/>
    <cellStyle name="60% - Accent6 3" xfId="126"/>
    <cellStyle name="Accent1 - 20%" xfId="1"/>
    <cellStyle name="Accent1 - 20% 2" xfId="189"/>
    <cellStyle name="Accent1 - 40%" xfId="2"/>
    <cellStyle name="Accent1 - 40% 2" xfId="190"/>
    <cellStyle name="Accent1 - 60%" xfId="3"/>
    <cellStyle name="Accent1 2" xfId="188"/>
    <cellStyle name="Accent1 3" xfId="127"/>
    <cellStyle name="Accent1 4" xfId="155"/>
    <cellStyle name="Accent2 - 20%" xfId="4"/>
    <cellStyle name="Accent2 - 20% 2" xfId="192"/>
    <cellStyle name="Accent2 - 40%" xfId="5"/>
    <cellStyle name="Accent2 - 40% 2" xfId="193"/>
    <cellStyle name="Accent2 - 60%" xfId="6"/>
    <cellStyle name="Accent2 2" xfId="191"/>
    <cellStyle name="Accent2 3" xfId="128"/>
    <cellStyle name="Accent2 4" xfId="154"/>
    <cellStyle name="Accent3 - 20%" xfId="7"/>
    <cellStyle name="Accent3 - 20% 2" xfId="195"/>
    <cellStyle name="Accent3 - 40%" xfId="8"/>
    <cellStyle name="Accent3 - 40% 2" xfId="196"/>
    <cellStyle name="Accent3 - 60%" xfId="9"/>
    <cellStyle name="Accent3 2" xfId="194"/>
    <cellStyle name="Accent3 3" xfId="129"/>
    <cellStyle name="Accent3 4" xfId="226"/>
    <cellStyle name="Accent4 - 20%" xfId="10"/>
    <cellStyle name="Accent4 - 20% 2" xfId="198"/>
    <cellStyle name="Accent4 - 40%" xfId="11"/>
    <cellStyle name="Accent4 - 40% 2" xfId="199"/>
    <cellStyle name="Accent4 - 60%" xfId="12"/>
    <cellStyle name="Accent4 2" xfId="197"/>
    <cellStyle name="Accent4 3" xfId="130"/>
    <cellStyle name="Accent4 4" xfId="138"/>
    <cellStyle name="Accent5 - 20%" xfId="13"/>
    <cellStyle name="Accent5 - 20% 2" xfId="201"/>
    <cellStyle name="Accent5 - 40%" xfId="14"/>
    <cellStyle name="Accent5 - 40% 2" xfId="202"/>
    <cellStyle name="Accent5 - 60%" xfId="15"/>
    <cellStyle name="Accent5 2" xfId="200"/>
    <cellStyle name="Accent5 3" xfId="131"/>
    <cellStyle name="Accent5 4" xfId="210"/>
    <cellStyle name="Accent6 - 20%" xfId="16"/>
    <cellStyle name="Accent6 - 20% 2" xfId="204"/>
    <cellStyle name="Accent6 - 40%" xfId="17"/>
    <cellStyle name="Accent6 - 40% 2" xfId="205"/>
    <cellStyle name="Accent6 - 60%" xfId="18"/>
    <cellStyle name="Accent6 2" xfId="203"/>
    <cellStyle name="Accent6 3" xfId="132"/>
    <cellStyle name="Accent6 4" xfId="136"/>
    <cellStyle name="Actual Date" xfId="19"/>
    <cellStyle name="Bad 2" xfId="206"/>
    <cellStyle name="Bad 3" xfId="133"/>
    <cellStyle name="Calculation 2" xfId="207"/>
    <cellStyle name="Calculation 3" xfId="134"/>
    <cellStyle name="Check Cell 2" xfId="208"/>
    <cellStyle name="Check Cell 3" xfId="135"/>
    <cellStyle name="Comma" xfId="20" builtinId="3"/>
    <cellStyle name="Comma  - Style1" xfId="21"/>
    <cellStyle name="Comma  - Style2" xfId="22"/>
    <cellStyle name="Comma  - Style3" xfId="23"/>
    <cellStyle name="Comma  - Style4" xfId="24"/>
    <cellStyle name="Comma  - Style5" xfId="25"/>
    <cellStyle name="Comma  - Style6" xfId="26"/>
    <cellStyle name="Comma  - Style7" xfId="27"/>
    <cellStyle name="Comma  - Style8" xfId="28"/>
    <cellStyle name="Comma 2" xfId="29"/>
    <cellStyle name="Comma 2 2" xfId="30"/>
    <cellStyle name="Comma 2 3" xfId="209"/>
    <cellStyle name="Comma 2 4" xfId="137"/>
    <cellStyle name="Comma 3" xfId="31"/>
    <cellStyle name="Comma 3 2" xfId="227"/>
    <cellStyle name="Comma 4" xfId="32"/>
    <cellStyle name="Comma 5" xfId="33"/>
    <cellStyle name="Currency" xfId="34" builtinId="4"/>
    <cellStyle name="Currency 2" xfId="35"/>
    <cellStyle name="Currency 2 2" xfId="211"/>
    <cellStyle name="Currency 3" xfId="36"/>
    <cellStyle name="Currency 4" xfId="37"/>
    <cellStyle name="Currency 5" xfId="38"/>
    <cellStyle name="Date" xfId="39"/>
    <cellStyle name="Emphasis 1" xfId="40"/>
    <cellStyle name="Emphasis 2" xfId="41"/>
    <cellStyle name="Emphasis 3" xfId="42"/>
    <cellStyle name="Explanatory Text 2" xfId="139"/>
    <cellStyle name="Fixed" xfId="43"/>
    <cellStyle name="Good 2" xfId="212"/>
    <cellStyle name="Good 3" xfId="140"/>
    <cellStyle name="Grey" xfId="44"/>
    <cellStyle name="HEADER" xfId="45"/>
    <cellStyle name="Heading 1 2" xfId="213"/>
    <cellStyle name="Heading 1 3" xfId="141"/>
    <cellStyle name="Heading 2 2" xfId="214"/>
    <cellStyle name="Heading 2 3" xfId="142"/>
    <cellStyle name="Heading 3 2" xfId="215"/>
    <cellStyle name="Heading 3 3" xfId="143"/>
    <cellStyle name="Heading 4 2" xfId="216"/>
    <cellStyle name="Heading 4 3" xfId="144"/>
    <cellStyle name="Heading1" xfId="46"/>
    <cellStyle name="Heading2" xfId="47"/>
    <cellStyle name="HIGHLIGHT" xfId="48"/>
    <cellStyle name="Input [yellow]" xfId="49"/>
    <cellStyle name="Input 2" xfId="217"/>
    <cellStyle name="Input 3" xfId="145"/>
    <cellStyle name="Input 4" xfId="230"/>
    <cellStyle name="Linked Cell 2" xfId="218"/>
    <cellStyle name="Linked Cell 3" xfId="146"/>
    <cellStyle name="Neutral 2" xfId="219"/>
    <cellStyle name="Neutral 3" xfId="147"/>
    <cellStyle name="no dec" xfId="50"/>
    <cellStyle name="Normal" xfId="0" builtinId="0"/>
    <cellStyle name="Normal - Style1" xfId="51"/>
    <cellStyle name="Normal 2" xfId="52"/>
    <cellStyle name="Normal 3" xfId="53"/>
    <cellStyle name="Normal 3 2" xfId="228"/>
    <cellStyle name="Normal 3 3" xfId="148"/>
    <cellStyle name="Normal 4" xfId="54"/>
    <cellStyle name="Normal 5" xfId="55"/>
    <cellStyle name="Note 2" xfId="220"/>
    <cellStyle name="Note 3" xfId="149"/>
    <cellStyle name="Output 2" xfId="221"/>
    <cellStyle name="Output 3" xfId="150"/>
    <cellStyle name="Percent" xfId="56" builtinId="5"/>
    <cellStyle name="Percent [2]" xfId="57"/>
    <cellStyle name="Percent 2" xfId="58"/>
    <cellStyle name="Percent 2 2" xfId="222"/>
    <cellStyle name="Percent 3" xfId="59"/>
    <cellStyle name="SAPBEXaggData" xfId="60"/>
    <cellStyle name="SAPBEXaggDataEmph" xfId="61"/>
    <cellStyle name="SAPBEXaggDataEmph 2" xfId="151"/>
    <cellStyle name="SAPBEXaggItem" xfId="62"/>
    <cellStyle name="SAPBEXaggItem 2" xfId="152"/>
    <cellStyle name="SAPBEXaggItemX" xfId="63"/>
    <cellStyle name="SAPBEXaggItemX 2" xfId="153"/>
    <cellStyle name="SAPBEXchaText" xfId="64"/>
    <cellStyle name="SAPBEXchaText 2" xfId="65"/>
    <cellStyle name="SAPBEXexcBad7" xfId="66"/>
    <cellStyle name="SAPBEXexcBad8" xfId="67"/>
    <cellStyle name="SAPBEXexcBad9" xfId="68"/>
    <cellStyle name="SAPBEXexcCritical4" xfId="69"/>
    <cellStyle name="SAPBEXexcCritical5" xfId="70"/>
    <cellStyle name="SAPBEXexcCritical6" xfId="71"/>
    <cellStyle name="SAPBEXexcGood1" xfId="72"/>
    <cellStyle name="SAPBEXexcGood2" xfId="73"/>
    <cellStyle name="SAPBEXexcGood3" xfId="74"/>
    <cellStyle name="SAPBEXfilterDrill" xfId="75"/>
    <cellStyle name="SAPBEXfilterItem" xfId="76"/>
    <cellStyle name="SAPBEXfilterText" xfId="77"/>
    <cellStyle name="SAPBEXfilterText 2" xfId="156"/>
    <cellStyle name="SAPBEXformats" xfId="78"/>
    <cellStyle name="SAPBEXheaderItem" xfId="79"/>
    <cellStyle name="SAPBEXheaderText" xfId="80"/>
    <cellStyle name="SAPBEXheaderText 2" xfId="157"/>
    <cellStyle name="SAPBEXHLevel0" xfId="81"/>
    <cellStyle name="SAPBEXHLevel0 2" xfId="82"/>
    <cellStyle name="SAPBEXHLevel0X" xfId="83"/>
    <cellStyle name="SAPBEXHLevel0X 2" xfId="158"/>
    <cellStyle name="SAPBEXHLevel1" xfId="84"/>
    <cellStyle name="SAPBEXHLevel1 2" xfId="159"/>
    <cellStyle name="SAPBEXHLevel1X" xfId="85"/>
    <cellStyle name="SAPBEXHLevel1X 2" xfId="160"/>
    <cellStyle name="SAPBEXHLevel2" xfId="86"/>
    <cellStyle name="SAPBEXHLevel2 2" xfId="161"/>
    <cellStyle name="SAPBEXHLevel2X" xfId="87"/>
    <cellStyle name="SAPBEXHLevel2X 2" xfId="162"/>
    <cellStyle name="SAPBEXHLevel3" xfId="88"/>
    <cellStyle name="SAPBEXHLevel3 2" xfId="89"/>
    <cellStyle name="SAPBEXHLevel3X" xfId="90"/>
    <cellStyle name="SAPBEXHLevel3X 2" xfId="163"/>
    <cellStyle name="SAPBEXinputData" xfId="91"/>
    <cellStyle name="SAPBEXresData" xfId="92"/>
    <cellStyle name="SAPBEXresData 2" xfId="164"/>
    <cellStyle name="SAPBEXresDataEmph" xfId="93"/>
    <cellStyle name="SAPBEXresDataEmph 2" xfId="165"/>
    <cellStyle name="SAPBEXresItem" xfId="94"/>
    <cellStyle name="SAPBEXresItem 2" xfId="166"/>
    <cellStyle name="SAPBEXresItemX" xfId="95"/>
    <cellStyle name="SAPBEXresItemX 2" xfId="167"/>
    <cellStyle name="SAPBEXstdData" xfId="96"/>
    <cellStyle name="SAPBEXstdDataEmph" xfId="97"/>
    <cellStyle name="SAPBEXstdItem" xfId="98"/>
    <cellStyle name="SAPBEXstdItemX" xfId="99"/>
    <cellStyle name="SAPBEXstdItemX 2" xfId="168"/>
    <cellStyle name="SAPBEXtitle" xfId="100"/>
    <cellStyle name="SAPBEXundefined" xfId="101"/>
    <cellStyle name="SEM-BPS-data" xfId="102"/>
    <cellStyle name="Sheet Title" xfId="103"/>
    <cellStyle name="Style 1" xfId="104"/>
    <cellStyle name="Style 1 2" xfId="229"/>
    <cellStyle name="Title 2" xfId="223"/>
    <cellStyle name="Title 3" xfId="169"/>
    <cellStyle name="Total 2" xfId="224"/>
    <cellStyle name="Total 3" xfId="170"/>
    <cellStyle name="Unprot" xfId="105"/>
    <cellStyle name="Unprot$" xfId="106"/>
    <cellStyle name="Unprot_monci" xfId="107"/>
    <cellStyle name="Unprotect" xfId="108"/>
    <cellStyle name="Warning Text 2" xfId="225"/>
    <cellStyle name="Warning Text 3" xfId="171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COMBCYC/PMG/performance/UNIT4P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TEMP/C.Home.RemoteAccess.tfr0qbi/Goals%20DSM/2003%20IRP/List%20of%20Measures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Documents%20and%20Settings/aal0diw/Local%20Settings/Temporary%20Internet%20Files/Content.Outlook/X6JGFBZ0/C.Home.RemoteAccess.tfr0qbi/Goals%20DSM/2003%20IRP/List%20of%20Measures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emp/C.Home.RemoteAccess.tfr0qbi/Goals%20DSM/2003%20IRP/List%20of%20Measures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0"/>
  <sheetViews>
    <sheetView tabSelected="1" zoomScale="98" zoomScaleNormal="98" workbookViewId="0">
      <selection activeCell="D6" sqref="D5:D6"/>
    </sheetView>
  </sheetViews>
  <sheetFormatPr defaultRowHeight="11.25"/>
  <cols>
    <col min="1" max="1" width="9.140625" style="1"/>
    <col min="2" max="2" width="10" style="1" bestFit="1" customWidth="1"/>
    <col min="3" max="3" width="12" style="2" customWidth="1"/>
    <col min="4" max="4" width="17.140625" style="2" customWidth="1"/>
    <col min="5" max="5" width="13.5703125" style="2" customWidth="1"/>
    <col min="6" max="6" width="13.140625" style="3" customWidth="1"/>
    <col min="7" max="7" width="13.42578125" style="1" customWidth="1"/>
    <col min="8" max="8" width="11.7109375" style="1" customWidth="1"/>
    <col min="9" max="9" width="16.42578125" style="2" customWidth="1"/>
    <col min="10" max="10" width="3.85546875" style="1" customWidth="1"/>
    <col min="11" max="11" width="2.7109375" style="4" customWidth="1"/>
    <col min="12" max="12" width="13.28515625" style="1" customWidth="1"/>
    <col min="13" max="13" width="13.5703125" style="1" customWidth="1"/>
    <col min="14" max="14" width="13.7109375" style="1" customWidth="1"/>
    <col min="15" max="15" width="10.5703125" style="1" customWidth="1"/>
    <col min="16" max="16" width="17.7109375" style="1" bestFit="1" customWidth="1"/>
    <col min="17" max="18" width="6.28515625" style="1" bestFit="1" customWidth="1"/>
    <col min="19" max="19" width="11" style="1" bestFit="1" customWidth="1"/>
    <col min="20" max="20" width="17.7109375" style="1" bestFit="1" customWidth="1"/>
    <col min="21" max="21" width="14" style="1" bestFit="1" customWidth="1"/>
    <col min="22" max="23" width="6.28515625" style="1" bestFit="1" customWidth="1"/>
    <col min="24" max="16384" width="9.140625" style="1"/>
  </cols>
  <sheetData>
    <row r="1" spans="1:13" s="315" customFormat="1">
      <c r="A1" s="315" t="s">
        <v>20</v>
      </c>
      <c r="C1" s="316"/>
      <c r="D1" s="316"/>
      <c r="E1" s="316"/>
      <c r="F1" s="316"/>
      <c r="I1" s="316"/>
      <c r="K1" s="317"/>
    </row>
    <row r="2" spans="1:13" s="315" customFormat="1">
      <c r="A2" s="315" t="s">
        <v>120</v>
      </c>
      <c r="C2" s="316"/>
      <c r="D2" s="316"/>
      <c r="E2" s="316"/>
      <c r="F2" s="316"/>
      <c r="I2" s="316"/>
      <c r="K2" s="317"/>
    </row>
    <row r="3" spans="1:13" s="315" customFormat="1">
      <c r="A3" s="315" t="s">
        <v>121</v>
      </c>
      <c r="C3" s="316"/>
      <c r="D3" s="316"/>
      <c r="E3" s="316"/>
      <c r="F3" s="316"/>
      <c r="I3" s="316"/>
      <c r="K3" s="317"/>
    </row>
    <row r="4" spans="1:13" s="315" customFormat="1">
      <c r="A4" s="315" t="s">
        <v>122</v>
      </c>
      <c r="C4" s="316"/>
      <c r="D4" s="316"/>
      <c r="E4" s="316"/>
      <c r="F4" s="316"/>
      <c r="I4" s="316"/>
      <c r="K4" s="317"/>
    </row>
    <row r="5" spans="1:13" s="315" customFormat="1">
      <c r="A5" s="315" t="s">
        <v>123</v>
      </c>
      <c r="C5" s="316"/>
      <c r="D5" s="316"/>
      <c r="E5" s="316"/>
      <c r="F5" s="316"/>
      <c r="I5" s="316"/>
      <c r="K5" s="317"/>
    </row>
    <row r="6" spans="1:13" s="315" customFormat="1">
      <c r="A6" s="315" t="s">
        <v>124</v>
      </c>
      <c r="C6" s="316"/>
      <c r="D6" s="316"/>
      <c r="E6" s="316"/>
      <c r="F6" s="316"/>
      <c r="I6" s="316"/>
      <c r="K6" s="317"/>
    </row>
    <row r="7" spans="1:13" s="315" customFormat="1">
      <c r="C7" s="316"/>
      <c r="D7" s="316"/>
      <c r="E7" s="316"/>
      <c r="F7" s="316"/>
      <c r="I7" s="316"/>
      <c r="K7" s="317"/>
    </row>
    <row r="8" spans="1:13" s="5" customFormat="1" ht="12.75">
      <c r="A8" s="43" t="s">
        <v>28</v>
      </c>
      <c r="B8" s="43"/>
      <c r="C8" s="46"/>
      <c r="D8" s="43"/>
      <c r="E8" s="43"/>
      <c r="F8" s="44"/>
      <c r="G8" s="43"/>
      <c r="H8" s="43"/>
      <c r="I8" s="45" t="s">
        <v>0</v>
      </c>
      <c r="J8" s="44">
        <v>18</v>
      </c>
      <c r="K8" s="54"/>
    </row>
    <row r="9" spans="1:13" s="5" customFormat="1" ht="12.75">
      <c r="A9" s="43"/>
      <c r="B9" s="43"/>
      <c r="C9" s="43"/>
      <c r="D9" s="43"/>
      <c r="E9" s="43"/>
      <c r="F9" s="44"/>
      <c r="G9" s="43"/>
      <c r="H9" s="43"/>
      <c r="I9" s="43"/>
      <c r="J9" s="43"/>
      <c r="K9" s="55"/>
    </row>
    <row r="10" spans="1:13" s="5" customFormat="1" ht="12.75">
      <c r="A10" s="43" t="s">
        <v>1</v>
      </c>
      <c r="B10" s="43"/>
      <c r="C10" s="43" t="s">
        <v>20</v>
      </c>
      <c r="D10" s="46"/>
      <c r="E10" s="46"/>
      <c r="F10" s="47"/>
      <c r="G10" s="46"/>
      <c r="H10" s="46"/>
      <c r="I10" s="43"/>
      <c r="J10" s="43"/>
      <c r="K10" s="55"/>
    </row>
    <row r="11" spans="1:13" s="5" customFormat="1" ht="12.75">
      <c r="A11" s="43" t="s">
        <v>2</v>
      </c>
      <c r="B11" s="46"/>
      <c r="C11" s="48" t="s">
        <v>99</v>
      </c>
      <c r="D11" s="46"/>
      <c r="E11" s="46"/>
      <c r="F11" s="47"/>
      <c r="G11" s="46"/>
      <c r="H11" s="46"/>
      <c r="I11" s="43"/>
      <c r="J11" s="43"/>
      <c r="K11" s="55"/>
      <c r="M11" s="91"/>
    </row>
    <row r="12" spans="1:13" s="5" customFormat="1" ht="12.75">
      <c r="A12" s="43" t="s">
        <v>3</v>
      </c>
      <c r="B12" s="46"/>
      <c r="C12" s="49" t="s">
        <v>19</v>
      </c>
      <c r="D12" s="49"/>
      <c r="E12" s="49"/>
      <c r="F12" s="50"/>
      <c r="G12" s="49"/>
      <c r="H12" s="49"/>
      <c r="I12" s="43"/>
      <c r="J12" s="43"/>
      <c r="K12" s="55"/>
      <c r="M12" s="91"/>
    </row>
    <row r="13" spans="1:13" s="5" customFormat="1" ht="12.75">
      <c r="A13" s="43" t="s">
        <v>4</v>
      </c>
      <c r="B13" s="46"/>
      <c r="C13" s="98">
        <v>2012</v>
      </c>
      <c r="D13" s="46"/>
      <c r="E13" s="46"/>
      <c r="F13" s="44"/>
      <c r="G13" s="43"/>
      <c r="H13" s="46"/>
      <c r="I13" s="47"/>
      <c r="J13" s="43"/>
      <c r="K13" s="55"/>
      <c r="M13" s="91"/>
    </row>
    <row r="14" spans="1:13" s="5" customFormat="1" ht="12.75">
      <c r="A14" s="43"/>
      <c r="B14" s="46"/>
      <c r="C14" s="46"/>
      <c r="D14" s="46"/>
      <c r="E14" s="46"/>
      <c r="F14" s="44"/>
      <c r="G14" s="43"/>
      <c r="H14" s="46"/>
      <c r="I14" s="47"/>
      <c r="J14" s="43"/>
      <c r="K14" s="55"/>
      <c r="M14" s="91"/>
    </row>
    <row r="15" spans="1:13" s="5" customFormat="1" ht="12.75">
      <c r="A15" s="44" t="s">
        <v>5</v>
      </c>
      <c r="B15" s="44" t="s">
        <v>6</v>
      </c>
      <c r="C15" s="44" t="s">
        <v>7</v>
      </c>
      <c r="D15" s="44" t="s">
        <v>8</v>
      </c>
      <c r="E15" s="44" t="s">
        <v>9</v>
      </c>
      <c r="F15" s="47" t="s">
        <v>10</v>
      </c>
      <c r="G15" s="47" t="s">
        <v>31</v>
      </c>
      <c r="H15" s="44" t="s">
        <v>11</v>
      </c>
      <c r="I15" s="44" t="s">
        <v>12</v>
      </c>
      <c r="J15" s="43"/>
      <c r="K15" s="55"/>
      <c r="M15" s="91"/>
    </row>
    <row r="16" spans="1:13" s="5" customFormat="1" ht="13.5" thickBot="1">
      <c r="A16" s="44"/>
      <c r="B16" s="44"/>
      <c r="C16" s="44"/>
      <c r="D16" s="44"/>
      <c r="E16" s="44" t="s">
        <v>13</v>
      </c>
      <c r="F16" s="47"/>
      <c r="G16" s="47"/>
      <c r="H16" s="47" t="s">
        <v>14</v>
      </c>
      <c r="I16" s="44" t="s">
        <v>15</v>
      </c>
      <c r="J16" s="43"/>
      <c r="K16" s="55"/>
      <c r="M16" s="91"/>
    </row>
    <row r="17" spans="1:20" s="5" customFormat="1" ht="15.75" thickBot="1">
      <c r="A17" s="7"/>
      <c r="B17" s="8"/>
      <c r="C17" s="9"/>
      <c r="D17" s="305" t="s">
        <v>21</v>
      </c>
      <c r="E17" s="306"/>
      <c r="F17" s="307" t="s">
        <v>22</v>
      </c>
      <c r="G17" s="307"/>
      <c r="H17" s="307"/>
      <c r="I17" s="306"/>
      <c r="J17" s="43"/>
      <c r="K17" s="55"/>
    </row>
    <row r="18" spans="1:20" s="5" customFormat="1" ht="51.75" thickBot="1">
      <c r="A18" s="56" t="s">
        <v>16</v>
      </c>
      <c r="B18" s="57" t="s">
        <v>23</v>
      </c>
      <c r="C18" s="58" t="s">
        <v>24</v>
      </c>
      <c r="D18" s="100" t="s">
        <v>40</v>
      </c>
      <c r="E18" s="58" t="s">
        <v>26</v>
      </c>
      <c r="F18" s="59" t="s">
        <v>27</v>
      </c>
      <c r="G18" s="40" t="s">
        <v>25</v>
      </c>
      <c r="H18" s="60" t="s">
        <v>26</v>
      </c>
      <c r="I18" s="115" t="s">
        <v>61</v>
      </c>
      <c r="J18" s="43"/>
      <c r="K18" s="55"/>
    </row>
    <row r="19" spans="1:20" s="5" customFormat="1" ht="12.75">
      <c r="A19" s="62">
        <v>2010</v>
      </c>
      <c r="B19" s="63">
        <v>4010837.3548591528</v>
      </c>
      <c r="C19" s="64">
        <v>4010837.3548591528</v>
      </c>
      <c r="D19" s="63">
        <v>0</v>
      </c>
      <c r="E19" s="65">
        <f>+D19/C19</f>
        <v>0</v>
      </c>
      <c r="F19" s="66">
        <v>0</v>
      </c>
      <c r="G19" s="67">
        <f>+F19</f>
        <v>0</v>
      </c>
      <c r="H19" s="68">
        <f>+G19/C19</f>
        <v>0</v>
      </c>
      <c r="I19" s="69">
        <f>+G19-D19</f>
        <v>0</v>
      </c>
      <c r="J19" s="43"/>
      <c r="K19" s="55"/>
      <c r="L19" s="61"/>
    </row>
    <row r="20" spans="1:20" s="5" customFormat="1" ht="12.75">
      <c r="A20" s="70">
        <v>2011</v>
      </c>
      <c r="B20" s="63">
        <v>4056427.5102924532</v>
      </c>
      <c r="C20" s="64">
        <f>B20-D19</f>
        <v>4056427.5102924532</v>
      </c>
      <c r="D20" s="71">
        <f>L21</f>
        <v>4588.3097434448337</v>
      </c>
      <c r="E20" s="73">
        <f>+D20/C20</f>
        <v>1.1311208524749487E-3</v>
      </c>
      <c r="F20" s="74">
        <v>523</v>
      </c>
      <c r="G20" s="75">
        <f>+F20</f>
        <v>523</v>
      </c>
      <c r="H20" s="76">
        <f>+G20/C20</f>
        <v>1.2893118357790983E-4</v>
      </c>
      <c r="I20" s="77">
        <f>+G20-D20</f>
        <v>-4065.3097434448337</v>
      </c>
      <c r="J20" s="43"/>
      <c r="K20" s="55"/>
      <c r="L20" s="61">
        <v>1366.285102614725</v>
      </c>
      <c r="M20" s="91"/>
      <c r="N20" s="116"/>
    </row>
    <row r="21" spans="1:20" s="5" customFormat="1" ht="12.75">
      <c r="A21" s="70">
        <v>2012</v>
      </c>
      <c r="B21" s="63">
        <v>4141910.0631841868</v>
      </c>
      <c r="C21" s="64">
        <f>B21-D20</f>
        <v>4137321.7534407419</v>
      </c>
      <c r="D21" s="71">
        <f>L22+D20</f>
        <v>9470.3097434448337</v>
      </c>
      <c r="E21" s="73">
        <f>+D21/C21</f>
        <v>2.2889952263366975E-3</v>
      </c>
      <c r="F21" s="202">
        <f>'2012 Actuals'!S11</f>
        <v>1145</v>
      </c>
      <c r="G21" s="75">
        <f>+F21+G20</f>
        <v>1668</v>
      </c>
      <c r="H21" s="76">
        <f>+G21/C21</f>
        <v>4.0315936236112954E-4</v>
      </c>
      <c r="I21" s="77">
        <f>+G21-D21</f>
        <v>-7802.3097434448337</v>
      </c>
      <c r="J21" s="43"/>
      <c r="K21" s="55"/>
      <c r="L21" s="61">
        <v>4588.3097434448337</v>
      </c>
      <c r="M21" s="91"/>
      <c r="O21" s="6"/>
      <c r="P21" s="6"/>
      <c r="Q21" s="6"/>
      <c r="R21" s="6"/>
      <c r="S21" s="6"/>
      <c r="T21" s="6"/>
    </row>
    <row r="22" spans="1:20" s="5" customFormat="1" ht="12.75">
      <c r="A22" s="70">
        <v>2013</v>
      </c>
      <c r="B22" s="63">
        <v>4226977.7148722634</v>
      </c>
      <c r="C22" s="64">
        <f>B22-D21</f>
        <v>4217507.4051288189</v>
      </c>
      <c r="D22" s="71">
        <f>L23+D21</f>
        <v>14444.309743444834</v>
      </c>
      <c r="E22" s="73">
        <f>+D22/C22</f>
        <v>3.4248451409663021E-3</v>
      </c>
      <c r="F22" s="74"/>
      <c r="G22" s="75"/>
      <c r="H22" s="78"/>
      <c r="I22" s="77"/>
      <c r="J22" s="43"/>
      <c r="K22" s="55"/>
      <c r="L22" s="61">
        <v>4882</v>
      </c>
    </row>
    <row r="23" spans="1:20" s="5" customFormat="1" ht="12.75">
      <c r="A23" s="70">
        <v>2014</v>
      </c>
      <c r="B23" s="63">
        <v>4311222.6681935266</v>
      </c>
      <c r="C23" s="64">
        <f>B23-D22</f>
        <v>4296778.3584500821</v>
      </c>
      <c r="D23" s="71">
        <f>L24+D22</f>
        <v>19414.309743444835</v>
      </c>
      <c r="E23" s="73">
        <f>+D23/C23</f>
        <v>4.5183409810432701E-3</v>
      </c>
      <c r="F23" s="74"/>
      <c r="G23" s="75"/>
      <c r="H23" s="78"/>
      <c r="I23" s="77"/>
      <c r="J23" s="43"/>
      <c r="K23" s="55"/>
      <c r="L23" s="61">
        <v>4974</v>
      </c>
    </row>
    <row r="24" spans="1:20" s="5" customFormat="1" ht="12.75">
      <c r="A24" s="70">
        <v>2015</v>
      </c>
      <c r="B24" s="71"/>
      <c r="C24" s="72"/>
      <c r="D24" s="71"/>
      <c r="E24" s="73"/>
      <c r="F24" s="74"/>
      <c r="G24" s="75"/>
      <c r="H24" s="78"/>
      <c r="I24" s="77"/>
      <c r="J24" s="43"/>
      <c r="K24" s="55"/>
      <c r="L24" s="61">
        <v>4970</v>
      </c>
      <c r="M24" s="91"/>
    </row>
    <row r="25" spans="1:20" s="5" customFormat="1" ht="12.75">
      <c r="A25" s="70">
        <v>2016</v>
      </c>
      <c r="B25" s="71"/>
      <c r="C25" s="72"/>
      <c r="D25" s="71"/>
      <c r="E25" s="73"/>
      <c r="F25" s="74"/>
      <c r="G25" s="75"/>
      <c r="H25" s="78"/>
      <c r="I25" s="77"/>
      <c r="J25" s="43"/>
      <c r="K25" s="55"/>
      <c r="M25" s="91"/>
    </row>
    <row r="26" spans="1:20" s="5" customFormat="1" ht="12.75">
      <c r="A26" s="70">
        <v>2017</v>
      </c>
      <c r="B26" s="71"/>
      <c r="C26" s="72"/>
      <c r="D26" s="71"/>
      <c r="E26" s="73"/>
      <c r="F26" s="74"/>
      <c r="G26" s="75"/>
      <c r="H26" s="78"/>
      <c r="I26" s="77"/>
      <c r="J26" s="43"/>
      <c r="K26" s="55"/>
      <c r="M26" s="91"/>
    </row>
    <row r="27" spans="1:20" s="5" customFormat="1" ht="12.75">
      <c r="A27" s="70">
        <v>2018</v>
      </c>
      <c r="B27" s="71"/>
      <c r="C27" s="72"/>
      <c r="D27" s="71"/>
      <c r="E27" s="73"/>
      <c r="F27" s="74"/>
      <c r="G27" s="75"/>
      <c r="H27" s="78"/>
      <c r="I27" s="77"/>
      <c r="J27" s="43"/>
      <c r="K27" s="55"/>
      <c r="M27" s="91"/>
    </row>
    <row r="28" spans="1:20" s="5" customFormat="1" ht="13.5" thickBot="1">
      <c r="A28" s="79">
        <v>2019</v>
      </c>
      <c r="B28" s="36"/>
      <c r="C28" s="37"/>
      <c r="D28" s="36"/>
      <c r="E28" s="80"/>
      <c r="F28" s="81"/>
      <c r="G28" s="82"/>
      <c r="H28" s="83"/>
      <c r="I28" s="84"/>
      <c r="J28" s="43"/>
      <c r="K28" s="55"/>
      <c r="M28" t="s">
        <v>52</v>
      </c>
      <c r="N28" s="91">
        <f>F21</f>
        <v>1145</v>
      </c>
    </row>
    <row r="29" spans="1:20" s="5" customFormat="1" ht="13.5" thickBot="1">
      <c r="A29" s="43"/>
      <c r="B29" s="44"/>
      <c r="C29" s="93"/>
      <c r="D29" s="44"/>
      <c r="E29" s="43"/>
      <c r="F29" s="44"/>
      <c r="G29" s="43"/>
      <c r="H29" s="43"/>
      <c r="I29" s="43"/>
      <c r="J29" s="43"/>
      <c r="K29" s="55"/>
      <c r="M29" t="s">
        <v>103</v>
      </c>
      <c r="N29" s="5">
        <v>1131</v>
      </c>
    </row>
    <row r="30" spans="1:20" s="5" customFormat="1" ht="15" thickBot="1">
      <c r="A30" s="11"/>
      <c r="B30" s="12"/>
      <c r="C30" s="13"/>
      <c r="D30" s="304" t="s">
        <v>105</v>
      </c>
      <c r="E30" s="303"/>
      <c r="F30" s="302" t="s">
        <v>34</v>
      </c>
      <c r="G30" s="303"/>
      <c r="H30" s="43"/>
      <c r="I30" s="43"/>
      <c r="J30" s="43"/>
      <c r="K30" s="55"/>
      <c r="M30" s="237" t="s">
        <v>33</v>
      </c>
      <c r="N30" s="238"/>
    </row>
    <row r="31" spans="1:20" s="5" customFormat="1" ht="13.5" thickBot="1">
      <c r="A31" s="41">
        <v>2012</v>
      </c>
      <c r="B31" s="15"/>
      <c r="C31" s="16"/>
      <c r="D31" s="17" t="s">
        <v>17</v>
      </c>
      <c r="E31" s="18" t="s">
        <v>18</v>
      </c>
      <c r="F31" s="17" t="s">
        <v>17</v>
      </c>
      <c r="G31" s="18" t="s">
        <v>18</v>
      </c>
      <c r="H31" s="43"/>
      <c r="I31" s="43"/>
      <c r="J31" s="43"/>
      <c r="K31" s="55"/>
      <c r="M31" s="229" t="s">
        <v>17</v>
      </c>
      <c r="N31" s="230" t="s">
        <v>18</v>
      </c>
      <c r="P31" s="6"/>
      <c r="Q31" s="6"/>
    </row>
    <row r="32" spans="1:20" s="5" customFormat="1" ht="12.75">
      <c r="A32" s="85" t="s">
        <v>29</v>
      </c>
      <c r="B32" s="20"/>
      <c r="C32" s="21"/>
      <c r="D32" s="22">
        <f t="shared" ref="D32:E34" si="0">+M32</f>
        <v>0.22019451812555255</v>
      </c>
      <c r="E32" s="23">
        <f t="shared" si="0"/>
        <v>0.23959365517241377</v>
      </c>
      <c r="F32" s="24">
        <f>'2012 Actuals'!Q12</f>
        <v>249.03999999999994</v>
      </c>
      <c r="G32" s="25">
        <f>'2012 Actuals'!Q52</f>
        <v>270.98042399999997</v>
      </c>
      <c r="H32" s="207"/>
      <c r="I32" s="207"/>
      <c r="J32" s="43"/>
      <c r="K32" s="55"/>
      <c r="M32" s="231">
        <f>F32/N29</f>
        <v>0.22019451812555255</v>
      </c>
      <c r="N32" s="232">
        <f>G32/N29</f>
        <v>0.23959365517241377</v>
      </c>
      <c r="P32" s="6"/>
      <c r="Q32" s="6"/>
    </row>
    <row r="33" spans="1:17" s="5" customFormat="1" ht="12.75">
      <c r="A33" s="86" t="s">
        <v>30</v>
      </c>
      <c r="B33" s="27"/>
      <c r="C33" s="28"/>
      <c r="D33" s="29">
        <f t="shared" si="0"/>
        <v>0.45039787798408504</v>
      </c>
      <c r="E33" s="30">
        <f t="shared" si="0"/>
        <v>0.49007793103448294</v>
      </c>
      <c r="F33" s="31">
        <f>'2012 Actuals'!Q14</f>
        <v>509.4000000000002</v>
      </c>
      <c r="G33" s="32">
        <f>'2012 Actuals'!Q54</f>
        <v>554.27814000000023</v>
      </c>
      <c r="H33" s="207"/>
      <c r="I33" s="207"/>
      <c r="J33" s="43"/>
      <c r="K33" s="55"/>
      <c r="M33" s="233">
        <f>F33/N29</f>
        <v>0.45039787798408504</v>
      </c>
      <c r="N33" s="234">
        <f>G33/N29</f>
        <v>0.49007793103448294</v>
      </c>
      <c r="P33" s="218"/>
      <c r="Q33" s="6"/>
    </row>
    <row r="34" spans="1:17" s="5" customFormat="1" ht="13.5" thickBot="1">
      <c r="A34" s="87" t="s">
        <v>32</v>
      </c>
      <c r="B34" s="34"/>
      <c r="C34" s="35"/>
      <c r="D34" s="36">
        <f t="shared" si="0"/>
        <v>1478.290008841733</v>
      </c>
      <c r="E34" s="37">
        <f t="shared" si="0"/>
        <v>1577.808492236958</v>
      </c>
      <c r="F34" s="109">
        <f>'2012 Actuals'!Q13*1000000</f>
        <v>1671946</v>
      </c>
      <c r="G34" s="110">
        <f>'2012 Actuals'!Q53*1000000</f>
        <v>1784501.4047199995</v>
      </c>
      <c r="H34" s="207"/>
      <c r="I34" s="207"/>
      <c r="J34" s="43"/>
      <c r="K34" s="55"/>
      <c r="M34" s="235">
        <f>F34/N29</f>
        <v>1478.290008841733</v>
      </c>
      <c r="N34" s="236">
        <f>G34/N29</f>
        <v>1577.808492236958</v>
      </c>
      <c r="P34" s="219"/>
      <c r="Q34" s="6"/>
    </row>
    <row r="35" spans="1:17" s="5" customFormat="1" ht="13.5" thickBot="1">
      <c r="A35" s="43"/>
      <c r="B35" s="43"/>
      <c r="C35" s="43"/>
      <c r="D35" s="43"/>
      <c r="E35" s="94"/>
      <c r="F35" s="95"/>
      <c r="G35" s="96"/>
      <c r="H35" s="97"/>
      <c r="I35" s="43"/>
      <c r="J35" s="43"/>
      <c r="K35" s="55"/>
      <c r="N35" s="220"/>
      <c r="P35" s="6"/>
      <c r="Q35" s="6"/>
    </row>
    <row r="36" spans="1:17" s="5" customFormat="1" ht="13.5" thickBot="1">
      <c r="A36" s="53">
        <v>2012</v>
      </c>
      <c r="B36" s="89"/>
      <c r="C36" s="14"/>
      <c r="D36" s="90"/>
      <c r="E36" s="43"/>
      <c r="F36" s="43"/>
      <c r="G36" s="43"/>
      <c r="H36" s="43"/>
      <c r="I36" s="43"/>
      <c r="J36" s="43"/>
      <c r="K36" s="55"/>
      <c r="M36" t="s">
        <v>104</v>
      </c>
      <c r="N36" s="6">
        <v>14</v>
      </c>
      <c r="P36" s="220"/>
    </row>
    <row r="37" spans="1:17" s="5" customFormat="1" ht="13.5" thickBot="1">
      <c r="A37" s="19" t="s">
        <v>38</v>
      </c>
      <c r="B37" s="20"/>
      <c r="C37" s="21"/>
      <c r="D37" s="51">
        <f>+D38*1000/F21</f>
        <v>1380.0450567685591</v>
      </c>
      <c r="E37" s="43"/>
      <c r="F37" s="44"/>
      <c r="G37" s="88"/>
      <c r="H37" s="43"/>
      <c r="I37" s="43"/>
      <c r="J37" s="43"/>
      <c r="K37" s="55"/>
      <c r="M37" s="237" t="s">
        <v>33</v>
      </c>
      <c r="N37" s="238"/>
    </row>
    <row r="38" spans="1:17" s="5" customFormat="1" ht="13.5" thickBot="1">
      <c r="A38" s="26" t="s">
        <v>35</v>
      </c>
      <c r="B38" s="27"/>
      <c r="C38" s="28"/>
      <c r="D38" s="187">
        <f>'2012 ECCR Cost'!B11/1000</f>
        <v>1580.1515900000002</v>
      </c>
      <c r="E38" s="43"/>
      <c r="F38" s="44"/>
      <c r="G38" s="43"/>
      <c r="H38" s="43"/>
      <c r="I38" s="43"/>
      <c r="J38" s="43"/>
      <c r="K38" s="55"/>
      <c r="L38" s="6"/>
      <c r="M38" s="229" t="s">
        <v>17</v>
      </c>
      <c r="N38" s="230" t="s">
        <v>18</v>
      </c>
    </row>
    <row r="39" spans="1:17" s="5" customFormat="1" ht="13.5" thickBot="1">
      <c r="A39" s="33" t="s">
        <v>36</v>
      </c>
      <c r="B39" s="34"/>
      <c r="C39" s="35"/>
      <c r="D39" s="199">
        <f>'NPV 2012'!B31</f>
        <v>-87.164254234644289</v>
      </c>
      <c r="E39" s="43"/>
      <c r="F39" s="44"/>
      <c r="G39" s="43"/>
      <c r="H39" s="43"/>
      <c r="I39" s="43"/>
      <c r="J39" s="43"/>
      <c r="K39" s="55"/>
      <c r="L39" s="6"/>
      <c r="M39" s="231">
        <f>F32/N36</f>
        <v>17.788571428571423</v>
      </c>
      <c r="N39" s="232">
        <f>G32/N36</f>
        <v>19.35574457142857</v>
      </c>
    </row>
    <row r="40" spans="1:17" s="5" customFormat="1" ht="12.75">
      <c r="A40" s="43"/>
      <c r="B40" s="43"/>
      <c r="C40" s="43"/>
      <c r="D40" s="43"/>
      <c r="E40" s="43"/>
      <c r="F40" s="44"/>
      <c r="G40" s="43"/>
      <c r="H40" s="43"/>
      <c r="I40" s="99"/>
      <c r="J40" s="43"/>
      <c r="K40" s="55"/>
      <c r="L40" s="6"/>
      <c r="M40" s="233">
        <f>F33/N36</f>
        <v>36.3857142857143</v>
      </c>
      <c r="N40" s="234">
        <f>G33/N36</f>
        <v>39.591295714285728</v>
      </c>
    </row>
    <row r="41" spans="1:17" s="5" customFormat="1" ht="15" thickBot="1">
      <c r="A41" s="52" t="s">
        <v>39</v>
      </c>
      <c r="B41" s="43"/>
      <c r="C41" s="43"/>
      <c r="D41" s="43"/>
      <c r="E41" s="43"/>
      <c r="F41" s="43"/>
      <c r="G41" s="43"/>
      <c r="H41" s="43"/>
      <c r="I41" s="43"/>
      <c r="J41" s="43"/>
      <c r="K41" s="55"/>
      <c r="L41" s="239"/>
      <c r="M41" s="235">
        <f>F34/N36</f>
        <v>119424.71428571429</v>
      </c>
      <c r="N41" s="236">
        <f>G34/N36</f>
        <v>127464.38605142853</v>
      </c>
    </row>
    <row r="42" spans="1:17" s="5" customFormat="1" ht="14.25">
      <c r="A42" s="52" t="s">
        <v>117</v>
      </c>
      <c r="B42" s="43"/>
      <c r="C42" s="43"/>
      <c r="D42" s="43"/>
      <c r="E42" s="43"/>
      <c r="F42" s="43"/>
      <c r="G42" s="43"/>
      <c r="H42" s="43"/>
      <c r="I42" s="43"/>
      <c r="J42" s="43"/>
      <c r="K42" s="55"/>
      <c r="L42" s="239"/>
      <c r="M42" s="240"/>
      <c r="N42" s="240"/>
    </row>
    <row r="43" spans="1:17" s="5" customFormat="1" ht="12.75">
      <c r="A43" s="43"/>
      <c r="B43" s="43"/>
      <c r="C43" s="43"/>
      <c r="D43" s="43"/>
      <c r="E43" s="43"/>
      <c r="F43" s="44"/>
      <c r="G43" s="43"/>
      <c r="H43" s="43"/>
      <c r="I43" s="43"/>
      <c r="J43" s="43"/>
      <c r="K43" s="55"/>
      <c r="L43" s="6"/>
      <c r="M43" s="6"/>
    </row>
    <row r="44" spans="1:17" s="5" customFormat="1" ht="12.75">
      <c r="A44" s="43" t="s">
        <v>28</v>
      </c>
      <c r="B44" s="43"/>
      <c r="C44" s="46"/>
      <c r="D44" s="43"/>
      <c r="E44" s="43"/>
      <c r="F44" s="44"/>
      <c r="G44" s="43"/>
      <c r="H44" s="43"/>
      <c r="I44" s="45" t="s">
        <v>0</v>
      </c>
      <c r="J44" s="44">
        <f>+J8+1</f>
        <v>19</v>
      </c>
      <c r="K44" s="55"/>
      <c r="L44" s="6"/>
      <c r="M44" s="6"/>
    </row>
    <row r="45" spans="1:17" s="5" customFormat="1" ht="12.75">
      <c r="A45" s="43"/>
      <c r="B45" s="43"/>
      <c r="C45" s="43"/>
      <c r="D45" s="43"/>
      <c r="E45" s="43"/>
      <c r="F45" s="44"/>
      <c r="G45" s="43"/>
      <c r="H45" s="43"/>
      <c r="I45" s="43"/>
      <c r="J45" s="43"/>
      <c r="K45" s="55"/>
    </row>
    <row r="46" spans="1:17" s="5" customFormat="1" ht="12.75">
      <c r="A46" s="43" t="s">
        <v>1</v>
      </c>
      <c r="B46" s="43"/>
      <c r="C46" s="43" t="s">
        <v>20</v>
      </c>
      <c r="D46" s="46"/>
      <c r="E46" s="46"/>
      <c r="F46" s="47"/>
      <c r="G46" s="46"/>
      <c r="H46" s="46"/>
      <c r="I46" s="43"/>
      <c r="J46" s="43"/>
      <c r="K46" s="55"/>
    </row>
    <row r="47" spans="1:17" s="5" customFormat="1" ht="12.75">
      <c r="A47" s="43" t="s">
        <v>2</v>
      </c>
      <c r="B47" s="46"/>
      <c r="C47" s="48" t="s">
        <v>100</v>
      </c>
      <c r="D47" s="46"/>
      <c r="E47" s="46"/>
      <c r="F47" s="47"/>
      <c r="G47" s="46"/>
      <c r="H47" s="46"/>
      <c r="I47" s="43"/>
      <c r="J47" s="43"/>
      <c r="K47" s="55"/>
    </row>
    <row r="48" spans="1:17" s="5" customFormat="1" ht="12.75">
      <c r="A48" s="43" t="s">
        <v>3</v>
      </c>
      <c r="B48" s="46"/>
      <c r="C48" s="49" t="str">
        <f>C$12</f>
        <v>May 2011</v>
      </c>
      <c r="D48" s="49"/>
      <c r="E48" s="49"/>
      <c r="F48" s="50"/>
      <c r="G48" s="49"/>
      <c r="H48" s="49"/>
      <c r="I48" s="43"/>
      <c r="J48" s="43"/>
      <c r="K48" s="55"/>
    </row>
    <row r="49" spans="1:15" s="5" customFormat="1" ht="12.75">
      <c r="A49" s="43" t="s">
        <v>4</v>
      </c>
      <c r="B49" s="46"/>
      <c r="C49" s="98">
        <v>2012</v>
      </c>
      <c r="D49" s="46"/>
      <c r="E49" s="46"/>
      <c r="F49" s="44"/>
      <c r="G49" s="43"/>
      <c r="H49" s="46"/>
      <c r="I49" s="47"/>
      <c r="J49" s="43"/>
      <c r="K49" s="55"/>
    </row>
    <row r="50" spans="1:15" s="5" customFormat="1" ht="12.75">
      <c r="A50" s="43"/>
      <c r="B50" s="46"/>
      <c r="C50" s="46"/>
      <c r="D50" s="46"/>
      <c r="E50" s="46"/>
      <c r="F50" s="44"/>
      <c r="G50" s="43"/>
      <c r="H50" s="46"/>
      <c r="I50" s="47"/>
      <c r="J50" s="43"/>
      <c r="K50" s="55"/>
    </row>
    <row r="51" spans="1:15" s="5" customFormat="1" ht="12.75">
      <c r="A51" s="44" t="s">
        <v>5</v>
      </c>
      <c r="B51" s="44" t="s">
        <v>6</v>
      </c>
      <c r="C51" s="44" t="s">
        <v>7</v>
      </c>
      <c r="D51" s="44" t="s">
        <v>8</v>
      </c>
      <c r="E51" s="44" t="s">
        <v>9</v>
      </c>
      <c r="F51" s="47" t="s">
        <v>10</v>
      </c>
      <c r="G51" s="47" t="s">
        <v>31</v>
      </c>
      <c r="H51" s="44" t="s">
        <v>11</v>
      </c>
      <c r="I51" s="44" t="s">
        <v>12</v>
      </c>
      <c r="J51" s="43"/>
      <c r="K51" s="55"/>
    </row>
    <row r="52" spans="1:15" s="5" customFormat="1" ht="13.5" thickBot="1">
      <c r="A52" s="44"/>
      <c r="B52" s="44"/>
      <c r="C52" s="44"/>
      <c r="D52" s="44"/>
      <c r="E52" s="44" t="s">
        <v>13</v>
      </c>
      <c r="F52" s="47"/>
      <c r="G52" s="47"/>
      <c r="H52" s="47" t="s">
        <v>14</v>
      </c>
      <c r="I52" s="44" t="s">
        <v>15</v>
      </c>
      <c r="J52" s="43"/>
      <c r="K52" s="55"/>
    </row>
    <row r="53" spans="1:15" s="5" customFormat="1" ht="15.75" thickBot="1">
      <c r="A53" s="7"/>
      <c r="B53" s="8"/>
      <c r="C53" s="9"/>
      <c r="D53" s="305" t="s">
        <v>21</v>
      </c>
      <c r="E53" s="306"/>
      <c r="F53" s="307" t="s">
        <v>22</v>
      </c>
      <c r="G53" s="307"/>
      <c r="H53" s="307"/>
      <c r="I53" s="306"/>
      <c r="J53" s="43"/>
      <c r="K53" s="55"/>
    </row>
    <row r="54" spans="1:15" s="5" customFormat="1" ht="51.75" thickBot="1">
      <c r="A54" s="56" t="s">
        <v>16</v>
      </c>
      <c r="B54" s="57" t="s">
        <v>23</v>
      </c>
      <c r="C54" s="58" t="s">
        <v>24</v>
      </c>
      <c r="D54" s="100" t="s">
        <v>40</v>
      </c>
      <c r="E54" s="58" t="s">
        <v>26</v>
      </c>
      <c r="F54" s="59" t="s">
        <v>27</v>
      </c>
      <c r="G54" s="40" t="s">
        <v>25</v>
      </c>
      <c r="H54" s="60" t="s">
        <v>26</v>
      </c>
      <c r="I54" s="115" t="s">
        <v>61</v>
      </c>
      <c r="J54" s="43"/>
      <c r="K54" s="55"/>
    </row>
    <row r="55" spans="1:15" s="5" customFormat="1" ht="12.75">
      <c r="A55" s="62">
        <v>2010</v>
      </c>
      <c r="B55" s="63">
        <v>4010837.3548591528</v>
      </c>
      <c r="C55" s="64">
        <v>404</v>
      </c>
      <c r="D55" s="63">
        <v>0</v>
      </c>
      <c r="E55" s="65">
        <f>SUM($D$55:D55)/SUM($C$55:C55)</f>
        <v>0</v>
      </c>
      <c r="F55" s="66">
        <v>0</v>
      </c>
      <c r="G55" s="67">
        <f>+F55</f>
        <v>0</v>
      </c>
      <c r="H55" s="68">
        <f>+G55/C55</f>
        <v>0</v>
      </c>
      <c r="I55" s="69">
        <f>+G55-D55</f>
        <v>0</v>
      </c>
      <c r="J55" s="43"/>
      <c r="K55" s="55"/>
    </row>
    <row r="56" spans="1:15" s="5" customFormat="1" ht="15">
      <c r="A56" s="70">
        <v>2011</v>
      </c>
      <c r="B56" s="63">
        <v>4056427.5102924532</v>
      </c>
      <c r="C56" s="64">
        <v>404</v>
      </c>
      <c r="D56" s="71">
        <f>L56</f>
        <v>200</v>
      </c>
      <c r="E56" s="73">
        <f>D56/SUM($C$55:C56)</f>
        <v>0.24752475247524752</v>
      </c>
      <c r="F56" s="74">
        <v>0</v>
      </c>
      <c r="G56" s="75">
        <f>+F56</f>
        <v>0</v>
      </c>
      <c r="H56" s="76">
        <f>G56/SUM($C$55:C56)</f>
        <v>0</v>
      </c>
      <c r="I56" s="77">
        <f>+G56-D56</f>
        <v>-200</v>
      </c>
      <c r="J56" s="43"/>
      <c r="K56" s="55"/>
      <c r="L56" s="91">
        <v>200</v>
      </c>
      <c r="M56" s="91"/>
      <c r="O56" s="184"/>
    </row>
    <row r="57" spans="1:15" s="5" customFormat="1" ht="15">
      <c r="A57" s="70">
        <v>2012</v>
      </c>
      <c r="B57" s="63">
        <v>4141910.0631841868</v>
      </c>
      <c r="C57" s="64">
        <v>404</v>
      </c>
      <c r="D57" s="71">
        <f>L57+D56</f>
        <v>400</v>
      </c>
      <c r="E57" s="73">
        <f>D57/SUM($C$55:C57)</f>
        <v>0.33003300330033003</v>
      </c>
      <c r="F57" s="202">
        <f>'2012 Actuals'!S16</f>
        <v>113</v>
      </c>
      <c r="G57" s="75">
        <f>+F57+G56</f>
        <v>113</v>
      </c>
      <c r="H57" s="76">
        <f>G57/SUM($C$55:C57)</f>
        <v>9.3234323432343238E-2</v>
      </c>
      <c r="I57" s="77">
        <f>+G57-D57</f>
        <v>-287</v>
      </c>
      <c r="J57" s="43"/>
      <c r="K57" s="55"/>
      <c r="L57" s="91">
        <v>200</v>
      </c>
      <c r="M57" s="91"/>
      <c r="O57" s="184"/>
    </row>
    <row r="58" spans="1:15" s="5" customFormat="1" ht="12.75">
      <c r="A58" s="70">
        <v>2013</v>
      </c>
      <c r="B58" s="63">
        <v>4226977.7148722634</v>
      </c>
      <c r="C58" s="64">
        <v>404</v>
      </c>
      <c r="D58" s="71">
        <f>L58+D57</f>
        <v>600</v>
      </c>
      <c r="E58" s="73">
        <f>D58/SUM($C$55:C58)</f>
        <v>0.37128712871287128</v>
      </c>
      <c r="F58" s="74"/>
      <c r="G58" s="75"/>
      <c r="H58" s="78"/>
      <c r="I58" s="77"/>
      <c r="J58" s="43"/>
      <c r="K58" s="55"/>
      <c r="L58" s="91">
        <v>200</v>
      </c>
      <c r="M58" s="91"/>
      <c r="O58" s="91"/>
    </row>
    <row r="59" spans="1:15" s="5" customFormat="1" ht="12.75">
      <c r="A59" s="70">
        <v>2014</v>
      </c>
      <c r="B59" s="63">
        <v>4311222.6681935266</v>
      </c>
      <c r="C59" s="64">
        <v>404</v>
      </c>
      <c r="D59" s="71">
        <f>L59+D58</f>
        <v>800</v>
      </c>
      <c r="E59" s="73">
        <f>D59/SUM($C$55:C59)</f>
        <v>0.39603960396039606</v>
      </c>
      <c r="F59" s="74"/>
      <c r="G59" s="75"/>
      <c r="H59" s="78"/>
      <c r="I59" s="77"/>
      <c r="J59" s="43"/>
      <c r="K59" s="55"/>
      <c r="L59" s="91">
        <v>200</v>
      </c>
      <c r="M59" s="91"/>
    </row>
    <row r="60" spans="1:15" s="5" customFormat="1" ht="12.75">
      <c r="A60" s="70">
        <v>2015</v>
      </c>
      <c r="B60" s="71"/>
      <c r="C60" s="72"/>
      <c r="D60" s="71"/>
      <c r="E60" s="73"/>
      <c r="F60" s="74"/>
      <c r="G60" s="75"/>
      <c r="H60" s="78"/>
      <c r="I60" s="77"/>
      <c r="J60" s="43"/>
      <c r="K60" s="55"/>
      <c r="M60" s="91"/>
    </row>
    <row r="61" spans="1:15" s="5" customFormat="1" ht="12.75">
      <c r="A61" s="70">
        <v>2016</v>
      </c>
      <c r="B61" s="71"/>
      <c r="C61" s="72"/>
      <c r="D61" s="71"/>
      <c r="E61" s="73"/>
      <c r="F61" s="74"/>
      <c r="G61" s="75"/>
      <c r="H61" s="78"/>
      <c r="I61" s="77"/>
      <c r="J61" s="43"/>
      <c r="K61" s="55"/>
      <c r="M61" s="91"/>
    </row>
    <row r="62" spans="1:15" s="5" customFormat="1" ht="12.75">
      <c r="A62" s="70">
        <v>2017</v>
      </c>
      <c r="B62" s="71"/>
      <c r="C62" s="72"/>
      <c r="D62" s="71"/>
      <c r="E62" s="73"/>
      <c r="F62" s="74"/>
      <c r="G62" s="75"/>
      <c r="H62" s="78"/>
      <c r="I62" s="77"/>
      <c r="J62" s="43"/>
      <c r="K62" s="55"/>
      <c r="M62" s="91"/>
    </row>
    <row r="63" spans="1:15" s="5" customFormat="1" ht="12.75">
      <c r="A63" s="70">
        <v>2018</v>
      </c>
      <c r="B63" s="71"/>
      <c r="C63" s="72"/>
      <c r="D63" s="71"/>
      <c r="E63" s="73"/>
      <c r="F63" s="74"/>
      <c r="G63" s="75"/>
      <c r="H63" s="78"/>
      <c r="I63" s="77"/>
      <c r="J63" s="43"/>
      <c r="K63" s="55"/>
      <c r="M63" s="241"/>
      <c r="N63" s="242"/>
    </row>
    <row r="64" spans="1:15" s="5" customFormat="1" ht="13.5" thickBot="1">
      <c r="A64" s="79">
        <v>2019</v>
      </c>
      <c r="B64" s="36"/>
      <c r="C64" s="37"/>
      <c r="D64" s="36"/>
      <c r="E64" s="80"/>
      <c r="F64" s="81"/>
      <c r="G64" s="82"/>
      <c r="H64" s="83"/>
      <c r="I64" s="84"/>
      <c r="J64" s="43"/>
      <c r="K64" s="55"/>
      <c r="M64" s="241"/>
      <c r="N64" s="10"/>
    </row>
    <row r="65" spans="1:14" s="5" customFormat="1" ht="13.5" thickBot="1">
      <c r="A65" s="43"/>
      <c r="B65" s="44"/>
      <c r="C65" s="93"/>
      <c r="D65" s="44"/>
      <c r="E65" s="43"/>
      <c r="F65" s="44"/>
      <c r="G65" s="43"/>
      <c r="H65" s="43"/>
      <c r="I65" s="43"/>
      <c r="J65" s="43"/>
      <c r="K65" s="55"/>
      <c r="M65" s="243"/>
      <c r="N65" s="243"/>
    </row>
    <row r="66" spans="1:14" s="5" customFormat="1" ht="13.5" thickBot="1">
      <c r="A66" s="11"/>
      <c r="B66" s="12"/>
      <c r="C66" s="13"/>
      <c r="D66" s="302" t="s">
        <v>33</v>
      </c>
      <c r="E66" s="303"/>
      <c r="F66" s="302" t="s">
        <v>34</v>
      </c>
      <c r="G66" s="303"/>
      <c r="H66" s="43"/>
      <c r="I66" s="43"/>
      <c r="J66" s="43"/>
      <c r="K66" s="55"/>
      <c r="M66" s="244"/>
      <c r="N66" s="244"/>
    </row>
    <row r="67" spans="1:14" s="5" customFormat="1" ht="13.5" thickBot="1">
      <c r="A67" s="41">
        <v>2012</v>
      </c>
      <c r="B67" s="15"/>
      <c r="C67" s="16"/>
      <c r="D67" s="17" t="s">
        <v>17</v>
      </c>
      <c r="E67" s="18" t="s">
        <v>18</v>
      </c>
      <c r="F67" s="17" t="s">
        <v>17</v>
      </c>
      <c r="G67" s="18" t="s">
        <v>18</v>
      </c>
      <c r="H67" s="43"/>
      <c r="I67" s="43"/>
      <c r="J67" s="43"/>
      <c r="K67" s="55"/>
      <c r="M67" s="245"/>
      <c r="N67" s="245"/>
    </row>
    <row r="68" spans="1:14" s="5" customFormat="1" ht="12.75">
      <c r="A68" s="85" t="s">
        <v>29</v>
      </c>
      <c r="B68" s="20"/>
      <c r="C68" s="21"/>
      <c r="D68" s="22">
        <f>+F68/F57</f>
        <v>0.21999999999999997</v>
      </c>
      <c r="E68" s="23">
        <f>+G68/F57</f>
        <v>0.23938200000000004</v>
      </c>
      <c r="F68" s="24">
        <f>'2012 Actuals'!Q17</f>
        <v>24.859999999999996</v>
      </c>
      <c r="G68" s="25">
        <f>'2012 Actuals'!Q57</f>
        <v>27.050166000000004</v>
      </c>
      <c r="H68" s="207"/>
      <c r="I68" s="207"/>
      <c r="J68" s="43"/>
      <c r="K68" s="55"/>
      <c r="M68" s="245"/>
      <c r="N68" s="245"/>
    </row>
    <row r="69" spans="1:14" s="5" customFormat="1" ht="12.75">
      <c r="A69" s="86" t="s">
        <v>30</v>
      </c>
      <c r="B69" s="27"/>
      <c r="C69" s="28"/>
      <c r="D69" s="29">
        <f>+F69/F57</f>
        <v>0.42949823008849553</v>
      </c>
      <c r="E69" s="30">
        <f>+G69/F57</f>
        <v>0.46733702415929207</v>
      </c>
      <c r="F69" s="31">
        <f>'2012 Actuals'!Q19</f>
        <v>48.533299999999997</v>
      </c>
      <c r="G69" s="32">
        <f>'2012 Actuals'!Q59</f>
        <v>52.809083730000005</v>
      </c>
      <c r="H69" s="207"/>
      <c r="I69" s="207"/>
      <c r="J69" s="43"/>
      <c r="K69" s="55"/>
      <c r="M69" s="240"/>
      <c r="N69" s="240"/>
    </row>
    <row r="70" spans="1:14" s="5" customFormat="1" ht="13.5" thickBot="1">
      <c r="A70" s="87" t="s">
        <v>32</v>
      </c>
      <c r="B70" s="34"/>
      <c r="C70" s="35"/>
      <c r="D70" s="36">
        <f>+F70/F57</f>
        <v>1491.5575221238937</v>
      </c>
      <c r="E70" s="37">
        <f>+G70/F57</f>
        <v>1591.9691745132748</v>
      </c>
      <c r="F70" s="38">
        <f>'2012 Actuals'!Q18*1000000</f>
        <v>168546</v>
      </c>
      <c r="G70" s="39">
        <f>'2012 Actuals'!Q58*1000000</f>
        <v>179892.51672000004</v>
      </c>
      <c r="H70" s="207"/>
      <c r="I70" s="207"/>
      <c r="J70" s="43"/>
      <c r="K70" s="55"/>
      <c r="M70" s="10"/>
      <c r="N70" s="246"/>
    </row>
    <row r="71" spans="1:14" s="5" customFormat="1" ht="13.5" thickBot="1">
      <c r="A71" s="43"/>
      <c r="B71" s="43"/>
      <c r="C71" s="43"/>
      <c r="D71" s="43"/>
      <c r="E71" s="94"/>
      <c r="F71" s="95"/>
      <c r="G71" s="96"/>
      <c r="H71" s="97"/>
      <c r="J71" s="43"/>
      <c r="K71" s="55"/>
      <c r="M71" s="241"/>
      <c r="N71" s="10"/>
    </row>
    <row r="72" spans="1:14" s="5" customFormat="1" ht="13.5" thickBot="1">
      <c r="A72" s="53">
        <v>2012</v>
      </c>
      <c r="B72" s="89"/>
      <c r="C72" s="14"/>
      <c r="D72" s="90"/>
      <c r="E72" s="43"/>
      <c r="F72" s="44"/>
      <c r="G72" s="43"/>
      <c r="H72" s="43"/>
      <c r="I72" s="43"/>
      <c r="J72" s="43"/>
      <c r="K72" s="55"/>
      <c r="M72" s="243"/>
      <c r="N72" s="243"/>
    </row>
    <row r="73" spans="1:14" s="5" customFormat="1" ht="12.75">
      <c r="A73" s="19" t="s">
        <v>38</v>
      </c>
      <c r="B73" s="20"/>
      <c r="C73" s="21"/>
      <c r="D73" s="51">
        <f>+D74*1000/F57</f>
        <v>3802.4187610619474</v>
      </c>
      <c r="E73" s="185"/>
      <c r="F73" s="44"/>
      <c r="G73" s="42"/>
      <c r="H73" s="43"/>
      <c r="I73" s="43"/>
      <c r="J73" s="43"/>
      <c r="K73" s="55"/>
      <c r="M73" s="244"/>
      <c r="N73" s="244"/>
    </row>
    <row r="74" spans="1:14" s="5" customFormat="1" ht="12.75">
      <c r="A74" s="26" t="s">
        <v>35</v>
      </c>
      <c r="B74" s="27"/>
      <c r="C74" s="28"/>
      <c r="D74" s="187">
        <f>'2012 ECCR Cost'!B12/1000</f>
        <v>429.67332000000005</v>
      </c>
      <c r="E74" s="43"/>
      <c r="F74" s="44"/>
      <c r="G74" s="43"/>
      <c r="H74" s="43"/>
      <c r="I74" s="43"/>
      <c r="J74" s="43"/>
      <c r="K74" s="55"/>
      <c r="M74" s="245"/>
      <c r="N74" s="245"/>
    </row>
    <row r="75" spans="1:14" s="5" customFormat="1" ht="13.5" thickBot="1">
      <c r="A75" s="33" t="s">
        <v>36</v>
      </c>
      <c r="B75" s="34"/>
      <c r="C75" s="35"/>
      <c r="D75" s="200">
        <f>'NPV 2012'!C31</f>
        <v>-45.869362997084629</v>
      </c>
      <c r="E75" s="43"/>
      <c r="F75" s="44"/>
      <c r="G75" s="43"/>
      <c r="H75" s="43"/>
      <c r="I75" s="43"/>
      <c r="J75" s="43"/>
      <c r="K75" s="55"/>
      <c r="M75" s="245"/>
      <c r="N75" s="245"/>
    </row>
    <row r="76" spans="1:14" s="5" customFormat="1" ht="12.75">
      <c r="A76" s="43"/>
      <c r="B76" s="43"/>
      <c r="C76" s="43"/>
      <c r="D76" s="43"/>
      <c r="E76" s="43"/>
      <c r="F76" s="44"/>
      <c r="G76" s="43"/>
      <c r="H76" s="43"/>
      <c r="I76" s="99"/>
      <c r="J76" s="43"/>
      <c r="K76" s="55"/>
      <c r="M76" s="240"/>
      <c r="N76" s="240"/>
    </row>
    <row r="77" spans="1:14" s="5" customFormat="1" ht="14.25">
      <c r="A77" s="52" t="s">
        <v>39</v>
      </c>
      <c r="B77" s="43"/>
      <c r="C77" s="43"/>
      <c r="D77" s="43"/>
      <c r="E77" s="43"/>
      <c r="F77" s="43"/>
      <c r="G77" s="43"/>
      <c r="H77" s="43"/>
      <c r="I77" s="43"/>
      <c r="J77" s="43"/>
      <c r="K77" s="55"/>
    </row>
    <row r="78" spans="1:14" s="5" customFormat="1" ht="12.75">
      <c r="A78" s="43"/>
      <c r="B78" s="43"/>
      <c r="C78" s="43"/>
      <c r="D78" s="43"/>
      <c r="E78" s="43"/>
      <c r="F78" s="44"/>
      <c r="G78" s="43"/>
      <c r="H78" s="43"/>
      <c r="I78" s="43"/>
      <c r="J78" s="43"/>
      <c r="K78" s="55"/>
    </row>
    <row r="79" spans="1:14" s="5" customFormat="1" ht="12.75">
      <c r="A79" s="43" t="s">
        <v>28</v>
      </c>
      <c r="B79" s="43"/>
      <c r="C79" s="46"/>
      <c r="D79" s="43"/>
      <c r="E79" s="43"/>
      <c r="F79" s="44"/>
      <c r="G79" s="43"/>
      <c r="H79" s="43"/>
      <c r="I79" s="45" t="s">
        <v>0</v>
      </c>
      <c r="J79" s="44">
        <f>+J44+1</f>
        <v>20</v>
      </c>
      <c r="K79" s="54"/>
    </row>
    <row r="80" spans="1:14" s="5" customFormat="1" ht="12.75">
      <c r="A80" s="43"/>
      <c r="B80" s="43"/>
      <c r="C80" s="43"/>
      <c r="D80" s="43"/>
      <c r="E80" s="43"/>
      <c r="F80" s="44"/>
      <c r="G80" s="43"/>
      <c r="H80" s="43"/>
      <c r="I80" s="43"/>
      <c r="J80" s="43"/>
      <c r="K80" s="55"/>
    </row>
    <row r="81" spans="1:18" s="5" customFormat="1" ht="12.75">
      <c r="A81" s="43" t="s">
        <v>1</v>
      </c>
      <c r="B81" s="43"/>
      <c r="C81" s="43" t="s">
        <v>20</v>
      </c>
      <c r="D81" s="46"/>
      <c r="E81" s="46"/>
      <c r="F81" s="47"/>
      <c r="G81" s="46"/>
      <c r="H81" s="46"/>
      <c r="I81" s="43"/>
      <c r="J81" s="43"/>
      <c r="K81" s="55"/>
    </row>
    <row r="82" spans="1:18" s="5" customFormat="1" ht="12.75">
      <c r="A82" s="43" t="s">
        <v>2</v>
      </c>
      <c r="B82" s="46"/>
      <c r="C82" s="48" t="s">
        <v>50</v>
      </c>
      <c r="D82" s="46"/>
      <c r="E82" s="46"/>
      <c r="F82" s="47"/>
      <c r="G82" s="46"/>
      <c r="H82" s="46"/>
      <c r="I82" s="43"/>
      <c r="J82" s="43"/>
      <c r="K82" s="55"/>
      <c r="R82" s="105"/>
    </row>
    <row r="83" spans="1:18" s="5" customFormat="1" ht="12.75">
      <c r="A83" s="43" t="s">
        <v>3</v>
      </c>
      <c r="B83" s="46"/>
      <c r="C83" s="49" t="str">
        <f>C$12</f>
        <v>May 2011</v>
      </c>
      <c r="D83" s="49"/>
      <c r="E83" s="49"/>
      <c r="F83" s="50"/>
      <c r="G83" s="49"/>
      <c r="H83" s="49"/>
      <c r="I83" s="43"/>
      <c r="J83" s="43"/>
      <c r="K83" s="55"/>
    </row>
    <row r="84" spans="1:18" s="5" customFormat="1" ht="12.75">
      <c r="A84" s="43" t="s">
        <v>4</v>
      </c>
      <c r="B84" s="46"/>
      <c r="C84" s="98">
        <v>2012</v>
      </c>
      <c r="D84" s="46"/>
      <c r="E84" s="46"/>
      <c r="F84" s="44"/>
      <c r="G84" s="43"/>
      <c r="H84" s="46"/>
      <c r="I84" s="47"/>
      <c r="J84" s="43"/>
      <c r="K84" s="55"/>
    </row>
    <row r="85" spans="1:18" s="5" customFormat="1" ht="12.75">
      <c r="A85" s="43"/>
      <c r="B85" s="46"/>
      <c r="C85" s="46"/>
      <c r="D85" s="46"/>
      <c r="E85" s="46"/>
      <c r="F85" s="44"/>
      <c r="G85" s="43"/>
      <c r="H85" s="46"/>
      <c r="I85" s="47"/>
      <c r="J85" s="43"/>
      <c r="K85" s="55"/>
    </row>
    <row r="86" spans="1:18" s="5" customFormat="1" ht="12.75">
      <c r="A86" s="44" t="s">
        <v>5</v>
      </c>
      <c r="B86" s="44" t="s">
        <v>6</v>
      </c>
      <c r="C86" s="44" t="s">
        <v>7</v>
      </c>
      <c r="D86" s="44" t="s">
        <v>8</v>
      </c>
      <c r="E86" s="44" t="s">
        <v>9</v>
      </c>
      <c r="F86" s="47" t="s">
        <v>10</v>
      </c>
      <c r="G86" s="47" t="s">
        <v>31</v>
      </c>
      <c r="H86" s="44" t="s">
        <v>11</v>
      </c>
      <c r="I86" s="44" t="s">
        <v>12</v>
      </c>
      <c r="J86" s="43"/>
      <c r="K86" s="55"/>
    </row>
    <row r="87" spans="1:18" s="5" customFormat="1" ht="13.5" thickBot="1">
      <c r="A87" s="44"/>
      <c r="B87" s="44"/>
      <c r="C87" s="44"/>
      <c r="D87" s="44"/>
      <c r="E87" s="44" t="s">
        <v>13</v>
      </c>
      <c r="F87" s="47"/>
      <c r="G87" s="47"/>
      <c r="H87" s="47" t="s">
        <v>14</v>
      </c>
      <c r="I87" s="44" t="s">
        <v>15</v>
      </c>
      <c r="J87" s="43"/>
      <c r="K87" s="55"/>
    </row>
    <row r="88" spans="1:18" s="5" customFormat="1" ht="15.75" thickBot="1">
      <c r="A88" s="7"/>
      <c r="B88" s="8"/>
      <c r="C88" s="9"/>
      <c r="D88" s="305" t="s">
        <v>21</v>
      </c>
      <c r="E88" s="306"/>
      <c r="F88" s="307" t="s">
        <v>22</v>
      </c>
      <c r="G88" s="307"/>
      <c r="H88" s="307"/>
      <c r="I88" s="306"/>
      <c r="J88" s="43"/>
      <c r="K88" s="55"/>
      <c r="L88" s="6"/>
    </row>
    <row r="89" spans="1:18" s="5" customFormat="1" ht="51.75" thickBot="1">
      <c r="A89" s="56" t="s">
        <v>16</v>
      </c>
      <c r="B89" s="57" t="s">
        <v>23</v>
      </c>
      <c r="C89" s="58" t="s">
        <v>24</v>
      </c>
      <c r="D89" s="100" t="s">
        <v>40</v>
      </c>
      <c r="E89" s="58" t="s">
        <v>26</v>
      </c>
      <c r="F89" s="59" t="s">
        <v>27</v>
      </c>
      <c r="G89" s="40" t="s">
        <v>25</v>
      </c>
      <c r="H89" s="60" t="s">
        <v>26</v>
      </c>
      <c r="I89" s="115" t="s">
        <v>61</v>
      </c>
      <c r="J89" s="43"/>
      <c r="K89" s="55"/>
      <c r="L89" s="106"/>
    </row>
    <row r="90" spans="1:18" s="5" customFormat="1" ht="12.75">
      <c r="A90" s="62">
        <v>2010</v>
      </c>
      <c r="B90" s="63">
        <v>534490.00855934958</v>
      </c>
      <c r="C90" s="103">
        <f>B90</f>
        <v>534490.00855934958</v>
      </c>
      <c r="D90" s="63">
        <v>0</v>
      </c>
      <c r="E90" s="65">
        <f>+D90/C90</f>
        <v>0</v>
      </c>
      <c r="F90" s="66">
        <v>0</v>
      </c>
      <c r="G90" s="67">
        <f>+F90</f>
        <v>0</v>
      </c>
      <c r="H90" s="68">
        <f>+G90/C90</f>
        <v>0</v>
      </c>
      <c r="I90" s="69">
        <f>+G90-D90</f>
        <v>0</v>
      </c>
      <c r="J90" s="43"/>
      <c r="K90" s="55"/>
      <c r="L90" s="6"/>
    </row>
    <row r="91" spans="1:18" s="5" customFormat="1" ht="12.75">
      <c r="A91" s="70">
        <v>2011</v>
      </c>
      <c r="B91" s="63">
        <v>547696.76814248285</v>
      </c>
      <c r="C91" s="64">
        <f>B91-D90</f>
        <v>547696.76814248285</v>
      </c>
      <c r="D91" s="71">
        <f>L91</f>
        <v>42.594443641718271</v>
      </c>
      <c r="E91" s="73">
        <f>+D91/C91</f>
        <v>7.7770120474103955E-5</v>
      </c>
      <c r="F91" s="74">
        <v>9</v>
      </c>
      <c r="G91" s="75">
        <f>+F91</f>
        <v>9</v>
      </c>
      <c r="H91" s="76">
        <f>+G91/C91</f>
        <v>1.6432450442465745E-5</v>
      </c>
      <c r="I91" s="77">
        <f>+G91-D91</f>
        <v>-33.594443641718271</v>
      </c>
      <c r="J91" s="43"/>
      <c r="K91" s="55"/>
      <c r="L91" s="117">
        <v>42.594443641718271</v>
      </c>
    </row>
    <row r="92" spans="1:18" s="5" customFormat="1" ht="12.75">
      <c r="A92" s="70">
        <v>2012</v>
      </c>
      <c r="B92" s="63">
        <v>561575.9303068415</v>
      </c>
      <c r="C92" s="64">
        <f>B92-D91</f>
        <v>561533.33586319978</v>
      </c>
      <c r="D92" s="71">
        <f>L92+D91</f>
        <v>94.428708908554881</v>
      </c>
      <c r="E92" s="73">
        <f>+D92/C92</f>
        <v>1.6816224946538083E-4</v>
      </c>
      <c r="F92" s="202">
        <f>'2012 Actuals'!S26</f>
        <v>22</v>
      </c>
      <c r="G92" s="75">
        <f>+F92+G91</f>
        <v>31</v>
      </c>
      <c r="H92" s="76">
        <f>+G92/C92</f>
        <v>5.5205983367570171E-5</v>
      </c>
      <c r="I92" s="77">
        <f>+G92-D92</f>
        <v>-63.428708908554881</v>
      </c>
      <c r="J92" s="43"/>
      <c r="K92" s="55"/>
      <c r="L92" s="117">
        <v>51.834265266836603</v>
      </c>
    </row>
    <row r="93" spans="1:18" s="5" customFormat="1" ht="12.75">
      <c r="A93" s="70">
        <v>2013</v>
      </c>
      <c r="B93" s="63">
        <v>575597.69705652446</v>
      </c>
      <c r="C93" s="64">
        <f>B93-D92</f>
        <v>575503.26834761596</v>
      </c>
      <c r="D93" s="71">
        <f>L93+D92</f>
        <v>157.18100800475628</v>
      </c>
      <c r="E93" s="73">
        <f>+D93/C93</f>
        <v>2.7311922737824606E-4</v>
      </c>
      <c r="F93" s="74"/>
      <c r="G93" s="75"/>
      <c r="H93" s="78"/>
      <c r="I93" s="77"/>
      <c r="J93" s="43"/>
      <c r="K93" s="55"/>
      <c r="L93" s="117">
        <v>62.752299096201398</v>
      </c>
    </row>
    <row r="94" spans="1:18" s="5" customFormat="1" ht="12.75">
      <c r="A94" s="70">
        <v>2014</v>
      </c>
      <c r="B94" s="63">
        <v>590087.02019112988</v>
      </c>
      <c r="C94" s="64">
        <f>B94-D93</f>
        <v>589929.83918312518</v>
      </c>
      <c r="D94" s="71">
        <f>L94+D93</f>
        <v>232.70037648191527</v>
      </c>
      <c r="E94" s="73">
        <f>+D94/C94</f>
        <v>3.9445432494842958E-4</v>
      </c>
      <c r="F94" s="74"/>
      <c r="G94" s="75"/>
      <c r="H94" s="78"/>
      <c r="I94" s="77"/>
      <c r="J94" s="43"/>
      <c r="K94" s="55"/>
      <c r="L94" s="117">
        <v>75.519368477158977</v>
      </c>
    </row>
    <row r="95" spans="1:18" s="5" customFormat="1" ht="12.75">
      <c r="A95" s="70">
        <v>2015</v>
      </c>
      <c r="B95" s="71"/>
      <c r="C95" s="72"/>
      <c r="D95" s="71"/>
      <c r="E95" s="73"/>
      <c r="F95" s="74"/>
      <c r="G95" s="75"/>
      <c r="H95" s="78"/>
      <c r="I95" s="77"/>
      <c r="J95" s="43"/>
      <c r="K95" s="55"/>
    </row>
    <row r="96" spans="1:18" s="5" customFormat="1" ht="12.75">
      <c r="A96" s="70">
        <v>2016</v>
      </c>
      <c r="B96" s="71"/>
      <c r="C96" s="72"/>
      <c r="D96" s="71"/>
      <c r="E96" s="73"/>
      <c r="F96" s="74"/>
      <c r="G96" s="75"/>
      <c r="H96" s="78"/>
      <c r="I96" s="77"/>
      <c r="J96" s="43"/>
      <c r="K96" s="55"/>
    </row>
    <row r="97" spans="1:15" s="5" customFormat="1" ht="12.75">
      <c r="A97" s="70">
        <v>2017</v>
      </c>
      <c r="B97" s="71"/>
      <c r="C97" s="72"/>
      <c r="D97" s="71"/>
      <c r="E97" s="73"/>
      <c r="F97" s="74"/>
      <c r="G97" s="75"/>
      <c r="H97" s="78"/>
      <c r="I97" s="77"/>
      <c r="J97" s="43"/>
      <c r="K97" s="55"/>
    </row>
    <row r="98" spans="1:15" s="5" customFormat="1" ht="12.75">
      <c r="A98" s="70">
        <v>2018</v>
      </c>
      <c r="B98" s="71"/>
      <c r="C98" s="72"/>
      <c r="D98" s="71"/>
      <c r="E98" s="73"/>
      <c r="F98" s="74"/>
      <c r="G98" s="75"/>
      <c r="H98" s="78"/>
      <c r="I98" s="77"/>
      <c r="J98" s="43"/>
      <c r="K98" s="55"/>
    </row>
    <row r="99" spans="1:15" s="5" customFormat="1" ht="13.5" thickBot="1">
      <c r="A99" s="79">
        <v>2019</v>
      </c>
      <c r="B99" s="36"/>
      <c r="C99" s="37"/>
      <c r="D99" s="36"/>
      <c r="E99" s="80"/>
      <c r="F99" s="81"/>
      <c r="G99" s="82"/>
      <c r="H99" s="83"/>
      <c r="I99" s="84"/>
      <c r="J99" s="43"/>
      <c r="K99" s="55"/>
      <c r="M99" t="s">
        <v>52</v>
      </c>
      <c r="N99" s="91">
        <f>F92</f>
        <v>22</v>
      </c>
    </row>
    <row r="100" spans="1:15" s="5" customFormat="1" ht="13.5" thickBot="1">
      <c r="A100" s="43"/>
      <c r="B100" s="44"/>
      <c r="C100" s="93"/>
      <c r="D100" s="44"/>
      <c r="E100" s="43"/>
      <c r="F100" s="44"/>
      <c r="G100" s="43"/>
      <c r="H100" s="43"/>
      <c r="I100" s="43"/>
      <c r="J100" s="43"/>
      <c r="K100" s="55"/>
      <c r="M100" t="s">
        <v>103</v>
      </c>
      <c r="N100" s="5">
        <v>16</v>
      </c>
      <c r="O100" t="s">
        <v>106</v>
      </c>
    </row>
    <row r="101" spans="1:15" s="5" customFormat="1" ht="15" thickBot="1">
      <c r="A101" s="11"/>
      <c r="B101" s="12"/>
      <c r="C101" s="13"/>
      <c r="D101" s="304" t="s">
        <v>105</v>
      </c>
      <c r="E101" s="303"/>
      <c r="F101" s="302" t="s">
        <v>34</v>
      </c>
      <c r="G101" s="303"/>
      <c r="H101" s="43"/>
      <c r="I101" s="43"/>
      <c r="J101" s="43"/>
      <c r="K101" s="55"/>
      <c r="M101" s="237" t="s">
        <v>33</v>
      </c>
      <c r="N101" s="238"/>
    </row>
    <row r="102" spans="1:15" s="5" customFormat="1" ht="13.5" thickBot="1">
      <c r="A102" s="41">
        <v>2012</v>
      </c>
      <c r="B102" s="15"/>
      <c r="C102" s="16"/>
      <c r="D102" s="17" t="s">
        <v>17</v>
      </c>
      <c r="E102" s="18" t="s">
        <v>18</v>
      </c>
      <c r="F102" s="17" t="s">
        <v>17</v>
      </c>
      <c r="G102" s="18" t="s">
        <v>18</v>
      </c>
      <c r="H102" s="43"/>
      <c r="I102" s="43"/>
      <c r="J102" s="43"/>
      <c r="K102" s="55"/>
      <c r="M102" s="229" t="s">
        <v>17</v>
      </c>
      <c r="N102" s="230" t="s">
        <v>18</v>
      </c>
    </row>
    <row r="103" spans="1:15" s="5" customFormat="1" ht="12.75">
      <c r="A103" s="85" t="s">
        <v>29</v>
      </c>
      <c r="B103" s="20"/>
      <c r="C103" s="21"/>
      <c r="D103" s="101">
        <f t="shared" ref="D103:E105" si="1">+M103</f>
        <v>2.8853943750000002</v>
      </c>
      <c r="E103" s="23">
        <f t="shared" si="1"/>
        <v>3.1395976194375002</v>
      </c>
      <c r="F103" s="24">
        <f>'2012 Actuals'!Q27</f>
        <v>46.166310000000003</v>
      </c>
      <c r="G103" s="25">
        <f>'2012 Actuals'!Q67</f>
        <v>50.233561911000002</v>
      </c>
      <c r="H103" s="207"/>
      <c r="I103" s="207"/>
      <c r="J103" s="43"/>
      <c r="K103" s="55"/>
      <c r="M103" s="231">
        <f>F103/N100</f>
        <v>2.8853943750000002</v>
      </c>
      <c r="N103" s="232">
        <f>G103/N100</f>
        <v>3.1395976194375002</v>
      </c>
    </row>
    <row r="104" spans="1:15" s="5" customFormat="1" ht="12.75">
      <c r="A104" s="86" t="s">
        <v>30</v>
      </c>
      <c r="B104" s="27"/>
      <c r="C104" s="28"/>
      <c r="D104" s="29">
        <f t="shared" si="1"/>
        <v>0.20519999999999999</v>
      </c>
      <c r="E104" s="30">
        <f t="shared" si="1"/>
        <v>0.22327812</v>
      </c>
      <c r="F104" s="31">
        <f>'2012 Actuals'!Q29</f>
        <v>3.2831999999999999</v>
      </c>
      <c r="G104" s="32">
        <f>'2012 Actuals'!Q69</f>
        <v>3.5724499199999999</v>
      </c>
      <c r="H104" s="207"/>
      <c r="I104" s="207"/>
      <c r="J104" s="43"/>
      <c r="K104" s="55"/>
      <c r="M104" s="233">
        <f>F104/N100</f>
        <v>0.20519999999999999</v>
      </c>
      <c r="N104" s="234">
        <f>G104/N100</f>
        <v>0.22327812</v>
      </c>
    </row>
    <row r="105" spans="1:15" s="5" customFormat="1" ht="13.5" thickBot="1">
      <c r="A105" s="87" t="s">
        <v>32</v>
      </c>
      <c r="B105" s="34"/>
      <c r="C105" s="35"/>
      <c r="D105" s="36">
        <f t="shared" si="1"/>
        <v>10547.9437375</v>
      </c>
      <c r="E105" s="37">
        <f t="shared" si="1"/>
        <v>11258.0313099085</v>
      </c>
      <c r="F105" s="109">
        <f>'2012 Actuals'!Q28*1000000</f>
        <v>168767.0998</v>
      </c>
      <c r="G105" s="110">
        <f>'2012 Actuals'!Q68*1000000</f>
        <v>180128.50095853599</v>
      </c>
      <c r="H105" s="207"/>
      <c r="I105" s="207"/>
      <c r="J105" s="43"/>
      <c r="K105" s="55"/>
      <c r="M105" s="235">
        <f>F105/N100</f>
        <v>10547.9437375</v>
      </c>
      <c r="N105" s="236">
        <f>G105/N100</f>
        <v>11258.0313099085</v>
      </c>
    </row>
    <row r="106" spans="1:15" s="5" customFormat="1" ht="13.5" thickBot="1">
      <c r="A106" s="43"/>
      <c r="B106" s="43"/>
      <c r="C106" s="43"/>
      <c r="D106" s="43"/>
      <c r="E106" s="94"/>
      <c r="F106" s="95"/>
      <c r="G106" s="96"/>
      <c r="H106" s="97"/>
      <c r="I106" s="43"/>
      <c r="J106" s="43"/>
      <c r="K106" s="55"/>
      <c r="N106" s="220"/>
    </row>
    <row r="107" spans="1:15" s="5" customFormat="1" ht="13.5" thickBot="1">
      <c r="A107" s="53">
        <v>2012</v>
      </c>
      <c r="B107" s="89"/>
      <c r="C107" s="14"/>
      <c r="D107" s="90"/>
      <c r="E107" s="43"/>
      <c r="F107" s="44"/>
      <c r="G107" s="43"/>
      <c r="H107" s="43"/>
      <c r="I107" s="43"/>
      <c r="J107" s="43"/>
      <c r="K107" s="55"/>
      <c r="M107" t="s">
        <v>104</v>
      </c>
      <c r="N107" s="6">
        <v>6</v>
      </c>
    </row>
    <row r="108" spans="1:15" s="5" customFormat="1" ht="13.5" thickBot="1">
      <c r="A108" s="19" t="s">
        <v>38</v>
      </c>
      <c r="B108" s="20"/>
      <c r="C108" s="21"/>
      <c r="D108" s="102">
        <f>+D109*1000/F92</f>
        <v>17821.706818181814</v>
      </c>
      <c r="E108" s="42"/>
      <c r="F108" s="44"/>
      <c r="G108" s="42"/>
      <c r="H108" s="43"/>
      <c r="I108" s="43"/>
      <c r="J108" s="43"/>
      <c r="K108" s="55"/>
      <c r="M108" s="237" t="s">
        <v>33</v>
      </c>
      <c r="N108" s="238"/>
    </row>
    <row r="109" spans="1:15" s="5" customFormat="1" ht="13.5" thickBot="1">
      <c r="A109" s="26" t="s">
        <v>35</v>
      </c>
      <c r="B109" s="27"/>
      <c r="C109" s="28"/>
      <c r="D109" s="187">
        <f>'2012 ECCR Cost'!B13/1000</f>
        <v>392.07754999999992</v>
      </c>
      <c r="E109" s="43"/>
      <c r="F109" s="42"/>
      <c r="G109" s="43"/>
      <c r="H109" s="43"/>
      <c r="I109" s="43"/>
      <c r="J109" s="43"/>
      <c r="K109" s="55"/>
      <c r="M109" s="229" t="s">
        <v>17</v>
      </c>
      <c r="N109" s="230" t="s">
        <v>18</v>
      </c>
    </row>
    <row r="110" spans="1:15" s="5" customFormat="1" ht="13.5" thickBot="1">
      <c r="A110" s="33" t="s">
        <v>36</v>
      </c>
      <c r="B110" s="34"/>
      <c r="C110" s="35"/>
      <c r="D110" s="200">
        <f>'NPV 2012'!D31</f>
        <v>-8.6917945413597213</v>
      </c>
      <c r="E110" s="43"/>
      <c r="F110" s="44"/>
      <c r="G110" s="43"/>
      <c r="H110" s="43"/>
      <c r="I110" s="43"/>
      <c r="J110" s="43"/>
      <c r="K110" s="55"/>
      <c r="M110" s="231">
        <f>F103/N107</f>
        <v>7.6943850000000005</v>
      </c>
      <c r="N110" s="232">
        <f>G103/N107</f>
        <v>8.3722603185000004</v>
      </c>
    </row>
    <row r="111" spans="1:15" s="5" customFormat="1" ht="12.75">
      <c r="A111" s="43"/>
      <c r="B111" s="43"/>
      <c r="C111" s="43"/>
      <c r="D111" s="43"/>
      <c r="E111" s="43"/>
      <c r="F111" s="44"/>
      <c r="G111" s="43"/>
      <c r="H111" s="43"/>
      <c r="I111" s="99"/>
      <c r="J111" s="43"/>
      <c r="K111" s="55"/>
      <c r="M111" s="233">
        <f>F104/N107</f>
        <v>0.54720000000000002</v>
      </c>
      <c r="N111" s="234">
        <f>G104/N107</f>
        <v>0.59540831999999999</v>
      </c>
    </row>
    <row r="112" spans="1:15" s="5" customFormat="1" ht="15" thickBot="1">
      <c r="A112" s="52" t="s">
        <v>39</v>
      </c>
      <c r="B112" s="43"/>
      <c r="C112" s="43"/>
      <c r="D112" s="43"/>
      <c r="E112" s="43"/>
      <c r="F112" s="43"/>
      <c r="G112" s="43"/>
      <c r="H112" s="43"/>
      <c r="I112" s="43"/>
      <c r="J112" s="43"/>
      <c r="K112" s="55"/>
      <c r="M112" s="235">
        <f>F105/N107</f>
        <v>28127.849966666665</v>
      </c>
      <c r="N112" s="236">
        <f>G105/N107</f>
        <v>30021.416826422665</v>
      </c>
    </row>
    <row r="113" spans="1:13" s="5" customFormat="1" ht="14.25">
      <c r="A113" s="52" t="s">
        <v>116</v>
      </c>
      <c r="B113" s="43"/>
      <c r="C113" s="43"/>
      <c r="D113" s="43"/>
      <c r="E113" s="43"/>
      <c r="F113" s="43"/>
      <c r="G113" s="43"/>
      <c r="H113" s="43"/>
      <c r="I113" s="43"/>
      <c r="J113" s="43"/>
      <c r="K113" s="55"/>
    </row>
    <row r="114" spans="1:13" s="5" customFormat="1" ht="12.75">
      <c r="A114" s="43"/>
      <c r="B114" s="43"/>
      <c r="C114" s="43"/>
      <c r="D114" s="43"/>
      <c r="E114" s="43"/>
      <c r="F114" s="44"/>
      <c r="G114" s="43"/>
      <c r="H114" s="43"/>
      <c r="I114" s="43"/>
      <c r="J114" s="43"/>
      <c r="K114" s="55"/>
    </row>
    <row r="115" spans="1:13" s="5" customFormat="1" ht="12.75">
      <c r="A115" s="43" t="s">
        <v>28</v>
      </c>
      <c r="B115" s="43"/>
      <c r="C115" s="46"/>
      <c r="D115" s="43"/>
      <c r="E115" s="43"/>
      <c r="F115" s="44"/>
      <c r="G115" s="43"/>
      <c r="H115" s="43"/>
      <c r="I115" s="45" t="s">
        <v>0</v>
      </c>
      <c r="J115" s="44">
        <f>+J79+1</f>
        <v>21</v>
      </c>
      <c r="K115" s="54"/>
    </row>
    <row r="116" spans="1:13" s="5" customFormat="1" ht="12.75">
      <c r="A116" s="43"/>
      <c r="B116" s="43"/>
      <c r="C116" s="43"/>
      <c r="D116" s="43"/>
      <c r="E116" s="43"/>
      <c r="F116" s="44"/>
      <c r="G116" s="43"/>
      <c r="H116" s="43"/>
      <c r="I116" s="43"/>
      <c r="J116" s="43"/>
      <c r="K116" s="55"/>
    </row>
    <row r="117" spans="1:13" s="5" customFormat="1" ht="12.75">
      <c r="A117" s="43" t="s">
        <v>1</v>
      </c>
      <c r="B117" s="43"/>
      <c r="C117" s="43" t="s">
        <v>20</v>
      </c>
      <c r="D117" s="46"/>
      <c r="E117" s="46"/>
      <c r="F117" s="47"/>
      <c r="G117" s="46"/>
      <c r="H117" s="46"/>
      <c r="I117" s="43"/>
      <c r="J117" s="43"/>
      <c r="K117" s="55"/>
    </row>
    <row r="118" spans="1:13" s="5" customFormat="1" ht="12.75">
      <c r="A118" s="43" t="s">
        <v>2</v>
      </c>
      <c r="B118" s="46"/>
      <c r="C118" s="48" t="s">
        <v>101</v>
      </c>
      <c r="D118" s="46"/>
      <c r="E118" s="46"/>
      <c r="F118" s="47"/>
      <c r="G118" s="46"/>
      <c r="H118" s="46"/>
      <c r="I118" s="43"/>
      <c r="J118" s="43"/>
      <c r="K118" s="55"/>
    </row>
    <row r="119" spans="1:13" s="5" customFormat="1" ht="12.75">
      <c r="A119" s="43" t="s">
        <v>3</v>
      </c>
      <c r="B119" s="46"/>
      <c r="C119" s="49" t="str">
        <f>C$12</f>
        <v>May 2011</v>
      </c>
      <c r="D119" s="49"/>
      <c r="E119" s="49"/>
      <c r="F119" s="50"/>
      <c r="G119" s="49"/>
      <c r="H119" s="49"/>
      <c r="I119" s="43"/>
      <c r="J119" s="43"/>
      <c r="K119" s="55"/>
    </row>
    <row r="120" spans="1:13" s="5" customFormat="1" ht="12.75">
      <c r="A120" s="43" t="s">
        <v>4</v>
      </c>
      <c r="B120" s="46"/>
      <c r="C120" s="98">
        <v>2012</v>
      </c>
      <c r="D120" s="46"/>
      <c r="E120" s="46"/>
      <c r="F120" s="44"/>
      <c r="G120" s="43"/>
      <c r="H120" s="46"/>
      <c r="I120" s="47"/>
      <c r="J120" s="43"/>
      <c r="K120" s="55"/>
    </row>
    <row r="121" spans="1:13" s="5" customFormat="1" ht="12.75">
      <c r="A121" s="43"/>
      <c r="B121" s="46"/>
      <c r="C121" s="46"/>
      <c r="D121" s="46"/>
      <c r="E121" s="46"/>
      <c r="F121" s="44"/>
      <c r="G121" s="43"/>
      <c r="H121" s="46"/>
      <c r="I121" s="47"/>
      <c r="J121" s="43"/>
      <c r="K121" s="55"/>
    </row>
    <row r="122" spans="1:13" s="5" customFormat="1" ht="12.75">
      <c r="A122" s="44" t="s">
        <v>5</v>
      </c>
      <c r="B122" s="44" t="s">
        <v>6</v>
      </c>
      <c r="C122" s="44" t="s">
        <v>7</v>
      </c>
      <c r="D122" s="44" t="s">
        <v>8</v>
      </c>
      <c r="E122" s="44" t="s">
        <v>9</v>
      </c>
      <c r="F122" s="47" t="s">
        <v>10</v>
      </c>
      <c r="G122" s="47" t="s">
        <v>31</v>
      </c>
      <c r="H122" s="44" t="s">
        <v>11</v>
      </c>
      <c r="I122" s="44" t="s">
        <v>12</v>
      </c>
      <c r="J122" s="43"/>
      <c r="K122" s="55"/>
    </row>
    <row r="123" spans="1:13" s="5" customFormat="1" ht="13.5" thickBot="1">
      <c r="A123" s="44"/>
      <c r="B123" s="44"/>
      <c r="C123" s="44"/>
      <c r="D123" s="44"/>
      <c r="E123" s="44" t="s">
        <v>13</v>
      </c>
      <c r="F123" s="47"/>
      <c r="G123" s="47"/>
      <c r="H123" s="47" t="s">
        <v>14</v>
      </c>
      <c r="I123" s="44" t="s">
        <v>15</v>
      </c>
      <c r="J123" s="43"/>
      <c r="K123" s="55"/>
    </row>
    <row r="124" spans="1:13" s="5" customFormat="1" ht="15.75" thickBot="1">
      <c r="A124" s="7"/>
      <c r="B124" s="8"/>
      <c r="C124" s="9"/>
      <c r="D124" s="305" t="s">
        <v>21</v>
      </c>
      <c r="E124" s="306"/>
      <c r="F124" s="307" t="s">
        <v>22</v>
      </c>
      <c r="G124" s="307"/>
      <c r="H124" s="307"/>
      <c r="I124" s="306"/>
      <c r="J124" s="43"/>
      <c r="K124" s="55"/>
    </row>
    <row r="125" spans="1:13" s="5" customFormat="1" ht="51.75" thickBot="1">
      <c r="A125" s="56" t="s">
        <v>16</v>
      </c>
      <c r="B125" s="57" t="s">
        <v>23</v>
      </c>
      <c r="C125" s="58" t="s">
        <v>24</v>
      </c>
      <c r="D125" s="100" t="s">
        <v>40</v>
      </c>
      <c r="E125" s="58" t="s">
        <v>26</v>
      </c>
      <c r="F125" s="59" t="s">
        <v>27</v>
      </c>
      <c r="G125" s="40" t="s">
        <v>25</v>
      </c>
      <c r="H125" s="60" t="s">
        <v>26</v>
      </c>
      <c r="I125" s="115" t="s">
        <v>61</v>
      </c>
      <c r="J125" s="43"/>
      <c r="K125" s="55"/>
    </row>
    <row r="126" spans="1:13" s="5" customFormat="1" ht="12.75">
      <c r="A126" s="62">
        <v>2010</v>
      </c>
      <c r="B126" s="63">
        <v>4010837.3548591528</v>
      </c>
      <c r="C126" s="64">
        <f>B126</f>
        <v>4010837.3548591528</v>
      </c>
      <c r="D126" s="63">
        <v>0</v>
      </c>
      <c r="E126" s="65">
        <f>+D126/C126</f>
        <v>0</v>
      </c>
      <c r="F126" s="66">
        <v>0</v>
      </c>
      <c r="G126" s="67">
        <f>+F126</f>
        <v>0</v>
      </c>
      <c r="H126" s="68">
        <f>+G126/C126</f>
        <v>0</v>
      </c>
      <c r="I126" s="69">
        <f>+G126-D126</f>
        <v>0</v>
      </c>
      <c r="J126" s="43"/>
      <c r="K126" s="55"/>
    </row>
    <row r="127" spans="1:13" s="5" customFormat="1" ht="12.75">
      <c r="A127" s="70">
        <v>2011</v>
      </c>
      <c r="B127" s="63">
        <v>4056427.5102924532</v>
      </c>
      <c r="C127" s="64">
        <f>B127-D126</f>
        <v>4056427.5102924532</v>
      </c>
      <c r="D127" s="71">
        <f>L127</f>
        <v>340</v>
      </c>
      <c r="E127" s="73">
        <f>+D127/C127</f>
        <v>8.3817595442618241E-5</v>
      </c>
      <c r="F127" s="74">
        <v>271</v>
      </c>
      <c r="G127" s="75">
        <f>+F127</f>
        <v>271</v>
      </c>
      <c r="H127" s="76">
        <f>+G127/C127</f>
        <v>6.6807554014557482E-5</v>
      </c>
      <c r="I127" s="77">
        <f>+G127-D127</f>
        <v>-69</v>
      </c>
      <c r="J127" s="43"/>
      <c r="K127" s="55"/>
      <c r="L127" s="92">
        <v>340</v>
      </c>
      <c r="M127" s="91"/>
    </row>
    <row r="128" spans="1:13" s="5" customFormat="1" ht="12.75">
      <c r="A128" s="70">
        <v>2012</v>
      </c>
      <c r="B128" s="63">
        <v>4141910.0631841868</v>
      </c>
      <c r="C128" s="64">
        <f>B128-D127</f>
        <v>4141570.0631841868</v>
      </c>
      <c r="D128" s="71">
        <f>L128+D127</f>
        <v>680</v>
      </c>
      <c r="E128" s="73">
        <f>+D128/C128</f>
        <v>1.6418894033563489E-4</v>
      </c>
      <c r="F128" s="202">
        <f>'2012 Actuals'!S21</f>
        <v>225</v>
      </c>
      <c r="G128" s="75">
        <f>+F128+G127</f>
        <v>496</v>
      </c>
      <c r="H128" s="76">
        <f>+G128/C128</f>
        <v>1.1976134471540426E-4</v>
      </c>
      <c r="I128" s="77">
        <f>+G128-D128</f>
        <v>-184</v>
      </c>
      <c r="J128" s="43"/>
      <c r="K128" s="55"/>
      <c r="L128" s="92">
        <v>340</v>
      </c>
      <c r="M128" s="91"/>
    </row>
    <row r="129" spans="1:13" s="5" customFormat="1" ht="12.75">
      <c r="A129" s="70">
        <v>2013</v>
      </c>
      <c r="B129" s="63">
        <v>4226977.7148722634</v>
      </c>
      <c r="C129" s="64">
        <f>B129-D128</f>
        <v>4226297.7148722634</v>
      </c>
      <c r="D129" s="71">
        <f>L129+D128</f>
        <v>1020</v>
      </c>
      <c r="E129" s="73">
        <f>+D129/C129</f>
        <v>2.413459885730811E-4</v>
      </c>
      <c r="F129" s="74"/>
      <c r="G129" s="75"/>
      <c r="H129" s="78"/>
      <c r="I129" s="77"/>
      <c r="J129" s="43"/>
      <c r="K129" s="55"/>
      <c r="L129" s="92">
        <v>340</v>
      </c>
      <c r="M129" s="91"/>
    </row>
    <row r="130" spans="1:13" s="5" customFormat="1" ht="12.75">
      <c r="A130" s="70">
        <v>2014</v>
      </c>
      <c r="B130" s="63">
        <v>4311222.6681935266</v>
      </c>
      <c r="C130" s="64">
        <f>B130-D129</f>
        <v>4310202.6681935266</v>
      </c>
      <c r="D130" s="71">
        <f>L130+D129</f>
        <v>1360</v>
      </c>
      <c r="E130" s="73">
        <f>+D130/C130</f>
        <v>3.1553040650174281E-4</v>
      </c>
      <c r="F130" s="74"/>
      <c r="G130" s="75"/>
      <c r="H130" s="78"/>
      <c r="I130" s="77"/>
      <c r="J130" s="43"/>
      <c r="K130" s="55"/>
      <c r="L130" s="92">
        <v>340</v>
      </c>
      <c r="M130" s="91"/>
    </row>
    <row r="131" spans="1:13" s="5" customFormat="1" ht="12.75">
      <c r="A131" s="70">
        <v>2015</v>
      </c>
      <c r="B131" s="71"/>
      <c r="C131" s="72"/>
      <c r="D131" s="71"/>
      <c r="E131" s="73"/>
      <c r="F131" s="74"/>
      <c r="G131" s="75"/>
      <c r="H131" s="78"/>
      <c r="I131" s="77"/>
      <c r="J131" s="43"/>
      <c r="K131" s="55"/>
      <c r="L131" s="92"/>
      <c r="M131" s="91"/>
    </row>
    <row r="132" spans="1:13" s="5" customFormat="1" ht="12.75">
      <c r="A132" s="70">
        <v>2016</v>
      </c>
      <c r="B132" s="71"/>
      <c r="C132" s="72"/>
      <c r="D132" s="71"/>
      <c r="E132" s="73"/>
      <c r="F132" s="74"/>
      <c r="G132" s="75"/>
      <c r="H132" s="78"/>
      <c r="I132" s="77"/>
      <c r="J132" s="43"/>
      <c r="K132" s="55"/>
      <c r="L132" s="92"/>
      <c r="M132" s="91"/>
    </row>
    <row r="133" spans="1:13" s="5" customFormat="1" ht="12.75">
      <c r="A133" s="70">
        <v>2017</v>
      </c>
      <c r="B133" s="71"/>
      <c r="C133" s="72"/>
      <c r="D133" s="71"/>
      <c r="E133" s="73"/>
      <c r="F133" s="74"/>
      <c r="G133" s="75"/>
      <c r="H133" s="78"/>
      <c r="I133" s="77"/>
      <c r="J133" s="43"/>
      <c r="K133" s="55"/>
      <c r="L133" s="92"/>
      <c r="M133" s="91"/>
    </row>
    <row r="134" spans="1:13" s="5" customFormat="1" ht="12.75">
      <c r="A134" s="70">
        <v>2018</v>
      </c>
      <c r="B134" s="71"/>
      <c r="C134" s="72"/>
      <c r="D134" s="71"/>
      <c r="E134" s="73"/>
      <c r="F134" s="74"/>
      <c r="G134" s="75"/>
      <c r="H134" s="78"/>
      <c r="I134" s="77"/>
      <c r="J134" s="43"/>
      <c r="K134" s="55"/>
      <c r="L134" s="92"/>
    </row>
    <row r="135" spans="1:13" s="5" customFormat="1" ht="13.5" thickBot="1">
      <c r="A135" s="79">
        <v>2019</v>
      </c>
      <c r="B135" s="36"/>
      <c r="C135" s="37"/>
      <c r="D135" s="36"/>
      <c r="E135" s="80"/>
      <c r="F135" s="81"/>
      <c r="G135" s="82"/>
      <c r="H135" s="83"/>
      <c r="I135" s="84"/>
      <c r="J135" s="43"/>
      <c r="K135" s="55"/>
    </row>
    <row r="136" spans="1:13" s="5" customFormat="1" ht="13.5" thickBot="1">
      <c r="A136" s="43"/>
      <c r="B136" s="44"/>
      <c r="C136" s="93"/>
      <c r="D136" s="44"/>
      <c r="E136" s="43"/>
      <c r="F136" s="44"/>
      <c r="G136" s="43"/>
      <c r="H136" s="43"/>
      <c r="I136" s="43"/>
      <c r="J136" s="43"/>
      <c r="K136" s="55"/>
    </row>
    <row r="137" spans="1:13" s="5" customFormat="1" ht="13.5" thickBot="1">
      <c r="A137" s="11"/>
      <c r="B137" s="12"/>
      <c r="C137" s="13"/>
      <c r="D137" s="302" t="s">
        <v>33</v>
      </c>
      <c r="E137" s="303"/>
      <c r="F137" s="302" t="s">
        <v>34</v>
      </c>
      <c r="G137" s="303"/>
      <c r="H137" s="43"/>
      <c r="I137" s="43"/>
      <c r="J137" s="43"/>
      <c r="K137" s="55"/>
    </row>
    <row r="138" spans="1:13" s="5" customFormat="1" ht="13.5" thickBot="1">
      <c r="A138" s="41">
        <v>2012</v>
      </c>
      <c r="B138" s="15"/>
      <c r="C138" s="16"/>
      <c r="D138" s="17" t="s">
        <v>17</v>
      </c>
      <c r="E138" s="18" t="s">
        <v>18</v>
      </c>
      <c r="F138" s="17" t="s">
        <v>17</v>
      </c>
      <c r="G138" s="18" t="s">
        <v>18</v>
      </c>
      <c r="H138" s="43"/>
      <c r="I138" s="43"/>
      <c r="J138" s="43"/>
      <c r="K138" s="55"/>
    </row>
    <row r="139" spans="1:13" s="5" customFormat="1" ht="12.75">
      <c r="A139" s="85" t="s">
        <v>29</v>
      </c>
      <c r="B139" s="20"/>
      <c r="C139" s="21"/>
      <c r="D139" s="101">
        <f>+F139/F128</f>
        <v>3.0842697777777781</v>
      </c>
      <c r="E139" s="23">
        <f>+G139/F128</f>
        <v>3.3559939452000003</v>
      </c>
      <c r="F139" s="24">
        <f>'2012 Actuals'!Q22</f>
        <v>693.96070000000009</v>
      </c>
      <c r="G139" s="25">
        <f>'2012 Actuals'!Q62</f>
        <v>755.09863767000002</v>
      </c>
      <c r="H139" s="207"/>
      <c r="I139" s="207"/>
      <c r="J139" s="43"/>
      <c r="K139" s="55"/>
    </row>
    <row r="140" spans="1:13" s="5" customFormat="1" ht="12.75">
      <c r="A140" s="86" t="s">
        <v>30</v>
      </c>
      <c r="B140" s="27"/>
      <c r="C140" s="28"/>
      <c r="D140" s="29">
        <f>+F140/F128</f>
        <v>9.1663555555555554E-2</v>
      </c>
      <c r="E140" s="30">
        <f>+G140/F128</f>
        <v>9.9739114800000028E-2</v>
      </c>
      <c r="F140" s="31">
        <f>'2012 Actuals'!Q24</f>
        <v>20.624299999999998</v>
      </c>
      <c r="G140" s="32">
        <f>'2012 Actuals'!Q64</f>
        <v>22.441300830000007</v>
      </c>
      <c r="H140" s="207"/>
      <c r="I140" s="207"/>
      <c r="J140" s="43"/>
      <c r="K140" s="55"/>
    </row>
    <row r="141" spans="1:13" s="5" customFormat="1" ht="13.5" thickBot="1">
      <c r="A141" s="87" t="s">
        <v>32</v>
      </c>
      <c r="B141" s="34"/>
      <c r="C141" s="35"/>
      <c r="D141" s="36">
        <f>+F141/F128</f>
        <v>9815.4932888888907</v>
      </c>
      <c r="E141" s="37">
        <f>+G141/F128</f>
        <v>10476.27229709689</v>
      </c>
      <c r="F141" s="109">
        <f>'2012 Actuals'!Q23*1000000</f>
        <v>2208485.9900000002</v>
      </c>
      <c r="G141" s="110">
        <f>'2012 Actuals'!Q63*1000000</f>
        <v>2357161.2668468002</v>
      </c>
      <c r="H141" s="207"/>
      <c r="I141" s="207"/>
      <c r="J141" s="43"/>
      <c r="K141" s="55"/>
    </row>
    <row r="142" spans="1:13" s="5" customFormat="1" ht="13.5" thickBot="1">
      <c r="A142" s="43"/>
      <c r="B142" s="43"/>
      <c r="C142" s="43"/>
      <c r="D142" s="43"/>
      <c r="E142" s="94"/>
      <c r="F142" s="95"/>
      <c r="G142" s="96"/>
      <c r="H142" s="97"/>
      <c r="I142" s="43"/>
      <c r="J142" s="43"/>
      <c r="K142" s="55"/>
    </row>
    <row r="143" spans="1:13" s="5" customFormat="1" ht="13.5" thickBot="1">
      <c r="A143" s="53">
        <v>2012</v>
      </c>
      <c r="B143" s="89"/>
      <c r="C143" s="14"/>
      <c r="D143" s="90"/>
      <c r="E143" s="43"/>
      <c r="F143" s="111"/>
      <c r="G143" s="112"/>
      <c r="H143" s="43"/>
      <c r="I143" s="43"/>
      <c r="J143" s="43"/>
      <c r="K143" s="55"/>
    </row>
    <row r="144" spans="1:13" s="5" customFormat="1" ht="12.75">
      <c r="A144" s="19" t="s">
        <v>38</v>
      </c>
      <c r="B144" s="20"/>
      <c r="C144" s="21"/>
      <c r="D144" s="102">
        <f>+D145*1000/F128</f>
        <v>15177.817288888888</v>
      </c>
      <c r="E144" s="42"/>
      <c r="F144" s="44"/>
      <c r="G144" s="42"/>
      <c r="H144" s="43"/>
      <c r="I144" s="43"/>
      <c r="J144" s="43"/>
      <c r="K144" s="55"/>
    </row>
    <row r="145" spans="1:11" s="5" customFormat="1" ht="12.75">
      <c r="A145" s="26" t="s">
        <v>35</v>
      </c>
      <c r="B145" s="27"/>
      <c r="C145" s="28"/>
      <c r="D145" s="187">
        <f>'2012 ECCR Cost'!B14/1000</f>
        <v>3415.0088899999996</v>
      </c>
      <c r="E145" s="43"/>
      <c r="F145" s="44"/>
      <c r="G145" s="43"/>
      <c r="H145" s="43"/>
      <c r="I145" s="43"/>
      <c r="J145" s="43"/>
      <c r="K145" s="55"/>
    </row>
    <row r="146" spans="1:11" s="5" customFormat="1" ht="13.5" thickBot="1">
      <c r="A146" s="33" t="s">
        <v>36</v>
      </c>
      <c r="B146" s="34"/>
      <c r="C146" s="35"/>
      <c r="D146" s="217">
        <f>'NPV 2012'!E31</f>
        <v>-125.99184721365924</v>
      </c>
      <c r="E146" s="43"/>
      <c r="F146" s="44"/>
      <c r="G146" s="43"/>
      <c r="H146" s="43"/>
      <c r="I146" s="43"/>
      <c r="J146" s="43"/>
      <c r="K146" s="55"/>
    </row>
    <row r="147" spans="1:11" s="5" customFormat="1" ht="12.75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55"/>
    </row>
    <row r="148" spans="1:11" s="5" customFormat="1" ht="14.25">
      <c r="A148" s="52" t="s">
        <v>39</v>
      </c>
      <c r="B148" s="43"/>
      <c r="C148" s="43"/>
      <c r="D148" s="43"/>
      <c r="E148" s="43"/>
      <c r="F148" s="44"/>
      <c r="G148" s="43"/>
      <c r="H148" s="43"/>
      <c r="I148" s="43"/>
      <c r="J148" s="43"/>
      <c r="K148" s="55"/>
    </row>
    <row r="149" spans="1:11" s="5" customFormat="1" ht="14.25">
      <c r="A149" s="52"/>
      <c r="B149" s="43"/>
      <c r="C149" s="43"/>
      <c r="D149" s="43"/>
      <c r="E149" s="43"/>
      <c r="F149" s="44"/>
      <c r="G149" s="43"/>
      <c r="H149" s="43"/>
      <c r="I149" s="43"/>
      <c r="J149" s="43"/>
      <c r="K149" s="55"/>
    </row>
    <row r="150" spans="1:11" s="5" customFormat="1" ht="12.75">
      <c r="A150" s="43" t="s">
        <v>28</v>
      </c>
      <c r="B150" s="43"/>
      <c r="C150" s="46"/>
      <c r="D150" s="43"/>
      <c r="E150" s="43"/>
      <c r="F150" s="44"/>
      <c r="G150" s="43"/>
      <c r="H150" s="43"/>
      <c r="I150" s="45" t="s">
        <v>0</v>
      </c>
      <c r="J150" s="44">
        <f>+J115+1</f>
        <v>22</v>
      </c>
      <c r="K150" s="54"/>
    </row>
    <row r="151" spans="1:11" s="5" customFormat="1" ht="12.75">
      <c r="A151" s="43"/>
      <c r="B151" s="43"/>
      <c r="C151" s="43"/>
      <c r="D151" s="43"/>
      <c r="E151" s="43"/>
      <c r="F151" s="44"/>
      <c r="G151" s="43"/>
      <c r="H151" s="43"/>
      <c r="I151" s="43"/>
      <c r="J151" s="43"/>
      <c r="K151" s="55"/>
    </row>
    <row r="152" spans="1:11" s="5" customFormat="1" ht="12.75">
      <c r="A152" s="43" t="s">
        <v>1</v>
      </c>
      <c r="B152" s="43"/>
      <c r="C152" s="43" t="s">
        <v>20</v>
      </c>
      <c r="D152" s="46"/>
      <c r="E152" s="46"/>
      <c r="F152" s="47"/>
      <c r="G152" s="46"/>
      <c r="H152" s="46"/>
      <c r="I152" s="43"/>
      <c r="J152" s="43"/>
      <c r="K152" s="55"/>
    </row>
    <row r="153" spans="1:11" s="5" customFormat="1" ht="12.75">
      <c r="A153" s="43" t="s">
        <v>2</v>
      </c>
      <c r="B153" s="46"/>
      <c r="C153" s="48" t="s">
        <v>94</v>
      </c>
      <c r="D153" s="46"/>
      <c r="E153" s="46"/>
      <c r="F153" s="47"/>
      <c r="G153" s="46"/>
      <c r="H153" s="46"/>
      <c r="I153" s="43"/>
      <c r="J153" s="43"/>
      <c r="K153" s="55"/>
    </row>
    <row r="154" spans="1:11" s="5" customFormat="1" ht="12.75">
      <c r="A154" s="43" t="s">
        <v>3</v>
      </c>
      <c r="B154" s="46"/>
      <c r="C154" s="49" t="str">
        <f>C$12</f>
        <v>May 2011</v>
      </c>
      <c r="D154" s="49"/>
      <c r="E154" s="49"/>
      <c r="F154" s="50"/>
      <c r="G154" s="49"/>
      <c r="H154" s="49"/>
      <c r="I154" s="43"/>
      <c r="J154" s="43"/>
      <c r="K154" s="55"/>
    </row>
    <row r="155" spans="1:11" s="5" customFormat="1" ht="12.75">
      <c r="A155" s="43" t="s">
        <v>4</v>
      </c>
      <c r="B155" s="46"/>
      <c r="C155" s="98">
        <v>2012</v>
      </c>
      <c r="D155" s="46"/>
      <c r="E155" s="46"/>
      <c r="F155" s="44"/>
      <c r="G155" s="43"/>
      <c r="H155" s="46"/>
      <c r="I155" s="47"/>
      <c r="J155" s="43"/>
      <c r="K155" s="55"/>
    </row>
    <row r="156" spans="1:11" s="5" customFormat="1" ht="12.75">
      <c r="A156" s="43"/>
      <c r="B156" s="46"/>
      <c r="C156" s="46"/>
      <c r="D156" s="46"/>
      <c r="E156" s="46"/>
      <c r="F156" s="44"/>
      <c r="G156" s="43"/>
      <c r="H156" s="46"/>
      <c r="I156" s="47"/>
      <c r="J156" s="43"/>
      <c r="K156" s="55"/>
    </row>
    <row r="157" spans="1:11" s="5" customFormat="1" ht="12.75">
      <c r="A157" s="44" t="s">
        <v>5</v>
      </c>
      <c r="B157" s="44" t="s">
        <v>6</v>
      </c>
      <c r="C157" s="44" t="s">
        <v>7</v>
      </c>
      <c r="D157" s="44" t="s">
        <v>8</v>
      </c>
      <c r="E157" s="44" t="s">
        <v>9</v>
      </c>
      <c r="F157" s="47" t="s">
        <v>10</v>
      </c>
      <c r="G157" s="47" t="s">
        <v>31</v>
      </c>
      <c r="H157" s="44" t="s">
        <v>11</v>
      </c>
      <c r="I157" s="44" t="s">
        <v>12</v>
      </c>
      <c r="J157" s="43"/>
      <c r="K157" s="55"/>
    </row>
    <row r="158" spans="1:11" s="5" customFormat="1" ht="13.5" thickBot="1">
      <c r="A158" s="44"/>
      <c r="B158" s="44"/>
      <c r="C158" s="44"/>
      <c r="D158" s="44"/>
      <c r="E158" s="44" t="s">
        <v>13</v>
      </c>
      <c r="F158" s="47"/>
      <c r="G158" s="47"/>
      <c r="H158" s="47" t="s">
        <v>14</v>
      </c>
      <c r="I158" s="44" t="s">
        <v>15</v>
      </c>
      <c r="J158" s="43"/>
      <c r="K158" s="55"/>
    </row>
    <row r="159" spans="1:11" s="5" customFormat="1" ht="15.75" thickBot="1">
      <c r="A159" s="7"/>
      <c r="B159" s="8"/>
      <c r="C159" s="9"/>
      <c r="D159" s="305" t="s">
        <v>21</v>
      </c>
      <c r="E159" s="306"/>
      <c r="F159" s="307" t="s">
        <v>22</v>
      </c>
      <c r="G159" s="307"/>
      <c r="H159" s="307"/>
      <c r="I159" s="306"/>
      <c r="J159" s="43"/>
      <c r="K159" s="55"/>
    </row>
    <row r="160" spans="1:11" s="5" customFormat="1" ht="51.75" thickBot="1">
      <c r="A160" s="56" t="s">
        <v>16</v>
      </c>
      <c r="B160" s="57" t="s">
        <v>23</v>
      </c>
      <c r="C160" s="58" t="s">
        <v>24</v>
      </c>
      <c r="D160" s="100" t="s">
        <v>40</v>
      </c>
      <c r="E160" s="58" t="s">
        <v>26</v>
      </c>
      <c r="F160" s="59" t="s">
        <v>27</v>
      </c>
      <c r="G160" s="40" t="s">
        <v>25</v>
      </c>
      <c r="H160" s="60" t="s">
        <v>26</v>
      </c>
      <c r="I160" s="115" t="s">
        <v>61</v>
      </c>
      <c r="J160" s="43"/>
      <c r="K160" s="55"/>
    </row>
    <row r="161" spans="1:13" s="5" customFormat="1" ht="12.75">
      <c r="A161" s="62">
        <v>2010</v>
      </c>
      <c r="B161" s="63">
        <v>534490.00855934958</v>
      </c>
      <c r="C161" s="103">
        <f>B161</f>
        <v>534490.00855934958</v>
      </c>
      <c r="D161" s="63">
        <v>0</v>
      </c>
      <c r="E161" s="65">
        <f>+D161/C161</f>
        <v>0</v>
      </c>
      <c r="F161" s="66">
        <v>0</v>
      </c>
      <c r="G161" s="67">
        <f>+F161</f>
        <v>0</v>
      </c>
      <c r="H161" s="68">
        <f>+G161/C161</f>
        <v>0</v>
      </c>
      <c r="I161" s="69">
        <f>+G161-D161</f>
        <v>0</v>
      </c>
      <c r="J161" s="43"/>
      <c r="K161" s="55"/>
      <c r="L161" s="61"/>
      <c r="M161" s="91"/>
    </row>
    <row r="162" spans="1:13" s="5" customFormat="1" ht="12.75">
      <c r="A162" s="70">
        <v>2011</v>
      </c>
      <c r="B162" s="63">
        <v>547696.76814248285</v>
      </c>
      <c r="C162" s="103">
        <f>B162-D161</f>
        <v>547696.76814248285</v>
      </c>
      <c r="D162" s="71">
        <f>L162</f>
        <v>63.443218553037099</v>
      </c>
      <c r="E162" s="73">
        <f>+D162/C162</f>
        <v>1.158363938648117E-4</v>
      </c>
      <c r="F162" s="74">
        <v>31</v>
      </c>
      <c r="G162" s="75">
        <f>+F162</f>
        <v>31</v>
      </c>
      <c r="H162" s="76">
        <f>+G162/C162</f>
        <v>5.6600662635159783E-5</v>
      </c>
      <c r="I162" s="77">
        <f>+G162-D162</f>
        <v>-32.443218553037099</v>
      </c>
      <c r="J162" s="43"/>
      <c r="K162" s="55"/>
      <c r="L162" s="61">
        <v>63.443218553037099</v>
      </c>
      <c r="M162" s="91"/>
    </row>
    <row r="163" spans="1:13" s="5" customFormat="1" ht="12.75">
      <c r="A163" s="70">
        <v>2012</v>
      </c>
      <c r="B163" s="63">
        <v>561575.9303068415</v>
      </c>
      <c r="C163" s="103">
        <f>B163-D162</f>
        <v>561512.48708828841</v>
      </c>
      <c r="D163" s="71">
        <f>L163+D162</f>
        <v>129.88689462524832</v>
      </c>
      <c r="E163" s="73">
        <f>+D163/C163</f>
        <v>2.3131612851349782E-4</v>
      </c>
      <c r="F163" s="202">
        <f>'2012 Actuals'!S31</f>
        <v>66</v>
      </c>
      <c r="G163" s="75">
        <f>+F163+G162</f>
        <v>97</v>
      </c>
      <c r="H163" s="76">
        <f>+G163/C163</f>
        <v>1.7274771662334978E-4</v>
      </c>
      <c r="I163" s="77">
        <f>+G163-D163</f>
        <v>-32.886894625248317</v>
      </c>
      <c r="J163" s="43"/>
      <c r="K163" s="55"/>
      <c r="L163" s="61">
        <v>66.443676072211204</v>
      </c>
      <c r="M163" s="91"/>
    </row>
    <row r="164" spans="1:13" s="5" customFormat="1" ht="12.75">
      <c r="A164" s="70">
        <v>2013</v>
      </c>
      <c r="B164" s="63">
        <v>575597.69705652446</v>
      </c>
      <c r="C164" s="103">
        <f>B164-D163</f>
        <v>575467.81016189919</v>
      </c>
      <c r="D164" s="71">
        <f>L164+D163</f>
        <v>201.3755164199676</v>
      </c>
      <c r="E164" s="73">
        <f>+D164/C164</f>
        <v>3.4993358944493115E-4</v>
      </c>
      <c r="F164" s="74"/>
      <c r="G164" s="75"/>
      <c r="H164" s="78"/>
      <c r="I164" s="77"/>
      <c r="J164" s="43"/>
      <c r="K164" s="55"/>
      <c r="L164" s="61">
        <v>71.488621794719293</v>
      </c>
      <c r="M164" s="91"/>
    </row>
    <row r="165" spans="1:13" s="5" customFormat="1" ht="12.75">
      <c r="A165" s="70">
        <v>2014</v>
      </c>
      <c r="B165" s="63">
        <v>590087.02019112988</v>
      </c>
      <c r="C165" s="103">
        <f>B165-D164</f>
        <v>589885.64467470988</v>
      </c>
      <c r="D165" s="71">
        <f>L165+D164</f>
        <v>280.70928553452268</v>
      </c>
      <c r="E165" s="73">
        <f>+D165/C165</f>
        <v>4.758706845448302E-4</v>
      </c>
      <c r="F165" s="74"/>
      <c r="G165" s="75"/>
      <c r="H165" s="78"/>
      <c r="I165" s="77"/>
      <c r="J165" s="43"/>
      <c r="K165" s="55"/>
      <c r="L165" s="61">
        <v>79.333769114555054</v>
      </c>
      <c r="M165" s="91"/>
    </row>
    <row r="166" spans="1:13" s="5" customFormat="1" ht="12.75">
      <c r="A166" s="70">
        <v>2015</v>
      </c>
      <c r="B166" s="71"/>
      <c r="C166" s="72"/>
      <c r="D166" s="71"/>
      <c r="E166" s="73"/>
      <c r="F166" s="74"/>
      <c r="G166" s="75"/>
      <c r="H166" s="78"/>
      <c r="I166" s="77"/>
      <c r="J166" s="43"/>
      <c r="K166" s="55"/>
      <c r="M166" s="91"/>
    </row>
    <row r="167" spans="1:13" s="5" customFormat="1" ht="12.75">
      <c r="A167" s="70">
        <v>2016</v>
      </c>
      <c r="B167" s="71"/>
      <c r="C167" s="72"/>
      <c r="D167" s="71"/>
      <c r="E167" s="73"/>
      <c r="F167" s="74"/>
      <c r="G167" s="75"/>
      <c r="H167" s="78"/>
      <c r="I167" s="77"/>
      <c r="J167" s="43"/>
      <c r="K167" s="55"/>
      <c r="M167" s="91"/>
    </row>
    <row r="168" spans="1:13" s="5" customFormat="1" ht="12.75">
      <c r="A168" s="70">
        <v>2017</v>
      </c>
      <c r="B168" s="71"/>
      <c r="C168" s="72"/>
      <c r="D168" s="71"/>
      <c r="E168" s="73"/>
      <c r="F168" s="74"/>
      <c r="G168" s="75"/>
      <c r="H168" s="78"/>
      <c r="I168" s="77"/>
      <c r="J168" s="43"/>
      <c r="K168" s="55"/>
    </row>
    <row r="169" spans="1:13" s="5" customFormat="1" ht="12.75">
      <c r="A169" s="70">
        <v>2018</v>
      </c>
      <c r="B169" s="71"/>
      <c r="C169" s="72"/>
      <c r="D169" s="71"/>
      <c r="E169" s="73"/>
      <c r="F169" s="74"/>
      <c r="G169" s="75"/>
      <c r="H169" s="78"/>
      <c r="I169" s="77"/>
      <c r="J169" s="43"/>
      <c r="K169" s="55"/>
    </row>
    <row r="170" spans="1:13" s="5" customFormat="1" ht="13.5" thickBot="1">
      <c r="A170" s="79">
        <v>2019</v>
      </c>
      <c r="B170" s="36"/>
      <c r="C170" s="37"/>
      <c r="D170" s="36"/>
      <c r="E170" s="80"/>
      <c r="F170" s="81"/>
      <c r="G170" s="82"/>
      <c r="H170" s="83"/>
      <c r="I170" s="84"/>
      <c r="J170" s="43"/>
      <c r="K170" s="55"/>
    </row>
    <row r="171" spans="1:13" s="5" customFormat="1" ht="13.5" thickBot="1">
      <c r="A171" s="43"/>
      <c r="B171" s="44"/>
      <c r="C171" s="93"/>
      <c r="D171" s="44"/>
      <c r="E171" s="43"/>
      <c r="F171" s="44"/>
      <c r="G171" s="43"/>
      <c r="H171" s="43"/>
      <c r="I171" s="43"/>
      <c r="J171" s="43"/>
      <c r="K171" s="55"/>
    </row>
    <row r="172" spans="1:13" s="5" customFormat="1" ht="13.5" thickBot="1">
      <c r="A172" s="11"/>
      <c r="B172" s="12"/>
      <c r="C172" s="13"/>
      <c r="D172" s="302" t="s">
        <v>33</v>
      </c>
      <c r="E172" s="303"/>
      <c r="F172" s="302" t="s">
        <v>34</v>
      </c>
      <c r="G172" s="303"/>
      <c r="H172" s="43"/>
      <c r="I172" s="43"/>
      <c r="J172" s="43"/>
      <c r="K172" s="55"/>
    </row>
    <row r="173" spans="1:13" s="5" customFormat="1" ht="13.5" thickBot="1">
      <c r="A173" s="41">
        <v>2012</v>
      </c>
      <c r="B173" s="15"/>
      <c r="C173" s="16"/>
      <c r="D173" s="17" t="s">
        <v>17</v>
      </c>
      <c r="E173" s="18" t="s">
        <v>18</v>
      </c>
      <c r="F173" s="17" t="s">
        <v>17</v>
      </c>
      <c r="G173" s="18" t="s">
        <v>18</v>
      </c>
      <c r="H173" s="43"/>
      <c r="I173" s="43"/>
      <c r="J173" s="43"/>
      <c r="K173" s="55"/>
    </row>
    <row r="174" spans="1:13" s="5" customFormat="1" ht="12.75">
      <c r="A174" s="85" t="s">
        <v>29</v>
      </c>
      <c r="B174" s="20"/>
      <c r="C174" s="21"/>
      <c r="D174" s="101">
        <f>+F174/F163</f>
        <v>9.7283893939393931</v>
      </c>
      <c r="E174" s="23">
        <f>+G174/F163</f>
        <v>10.585460499545457</v>
      </c>
      <c r="F174" s="24">
        <f>'2012 Actuals'!Q32</f>
        <v>642.07369999999992</v>
      </c>
      <c r="G174" s="25">
        <f>'2012 Actuals'!Q72</f>
        <v>698.64039297000011</v>
      </c>
      <c r="H174" s="207"/>
      <c r="I174" s="207"/>
      <c r="J174" s="43"/>
      <c r="K174" s="55"/>
    </row>
    <row r="175" spans="1:13" s="5" customFormat="1" ht="12.75">
      <c r="A175" s="86" t="s">
        <v>30</v>
      </c>
      <c r="B175" s="27"/>
      <c r="C175" s="28"/>
      <c r="D175" s="29">
        <f>+F175/F163</f>
        <v>0.28893787878787885</v>
      </c>
      <c r="E175" s="30">
        <f>+G175/F163</f>
        <v>0.31439330590909098</v>
      </c>
      <c r="F175" s="31">
        <f>'2012 Actuals'!Q34</f>
        <v>19.069900000000004</v>
      </c>
      <c r="G175" s="32">
        <f>'2012 Actuals'!Q74</f>
        <v>20.749958190000005</v>
      </c>
      <c r="H175" s="207"/>
      <c r="I175" s="207"/>
      <c r="J175" s="43"/>
      <c r="K175" s="55"/>
    </row>
    <row r="176" spans="1:13" s="5" customFormat="1" ht="13.5" thickBot="1">
      <c r="A176" s="87" t="s">
        <v>32</v>
      </c>
      <c r="B176" s="34"/>
      <c r="C176" s="35"/>
      <c r="D176" s="36">
        <f>+F176/F163</f>
        <v>30658.844848484856</v>
      </c>
      <c r="E176" s="37">
        <f>+G176/F163</f>
        <v>32722.79828368485</v>
      </c>
      <c r="F176" s="109">
        <f>'2012 Actuals'!Q33*1000000</f>
        <v>2023483.7600000005</v>
      </c>
      <c r="G176" s="110">
        <f>'2012 Actuals'!Q73*1000000</f>
        <v>2159704.6867232001</v>
      </c>
      <c r="H176" s="207"/>
      <c r="I176" s="207"/>
      <c r="J176" s="43"/>
      <c r="K176" s="55"/>
    </row>
    <row r="177" spans="1:15" s="5" customFormat="1" ht="13.5" thickBot="1">
      <c r="A177" s="43"/>
      <c r="B177" s="43"/>
      <c r="C177" s="43"/>
      <c r="D177" s="43"/>
      <c r="E177" s="94"/>
      <c r="F177" s="95"/>
      <c r="G177" s="96"/>
      <c r="I177" s="43"/>
      <c r="J177" s="43"/>
      <c r="K177" s="55"/>
    </row>
    <row r="178" spans="1:15" s="5" customFormat="1" ht="13.5" thickBot="1">
      <c r="A178" s="53">
        <v>2012</v>
      </c>
      <c r="B178" s="89"/>
      <c r="C178" s="14"/>
      <c r="D178" s="90"/>
      <c r="E178" s="43"/>
      <c r="F178" s="113"/>
      <c r="G178" s="114"/>
      <c r="H178" s="43"/>
      <c r="I178" s="43"/>
      <c r="J178" s="43"/>
      <c r="K178" s="55"/>
    </row>
    <row r="179" spans="1:15" s="5" customFormat="1" ht="12.75">
      <c r="A179" s="19" t="s">
        <v>38</v>
      </c>
      <c r="B179" s="20"/>
      <c r="C179" s="21"/>
      <c r="D179" s="102">
        <f>+D180*1000/F163</f>
        <v>39081.345454545459</v>
      </c>
      <c r="E179" s="42"/>
      <c r="F179" s="44"/>
      <c r="G179" s="42"/>
      <c r="H179" s="43"/>
      <c r="I179" s="43"/>
      <c r="J179" s="43"/>
      <c r="K179" s="55"/>
    </row>
    <row r="180" spans="1:15" s="5" customFormat="1" ht="12.75">
      <c r="A180" s="26" t="s">
        <v>35</v>
      </c>
      <c r="B180" s="27"/>
      <c r="C180" s="28"/>
      <c r="D180" s="187">
        <f>'2012 ECCR Cost'!B15/1000</f>
        <v>2579.3688000000002</v>
      </c>
      <c r="E180" s="43"/>
      <c r="F180" s="44"/>
      <c r="G180" s="43"/>
      <c r="H180" s="43"/>
      <c r="I180" s="43"/>
      <c r="J180" s="43"/>
      <c r="K180" s="55"/>
    </row>
    <row r="181" spans="1:15" s="5" customFormat="1" ht="13.5" thickBot="1">
      <c r="A181" s="33" t="s">
        <v>36</v>
      </c>
      <c r="B181" s="34"/>
      <c r="C181" s="35"/>
      <c r="D181" s="200">
        <f>'NPV 2012'!F31</f>
        <v>-99.361812483954679</v>
      </c>
      <c r="E181" s="43"/>
      <c r="F181" s="44"/>
      <c r="G181" s="43"/>
      <c r="H181" s="43"/>
      <c r="I181" s="43"/>
      <c r="J181" s="43"/>
      <c r="K181" s="55"/>
    </row>
    <row r="182" spans="1:15" s="5" customFormat="1" ht="12.75">
      <c r="A182" s="43"/>
      <c r="B182" s="43"/>
      <c r="C182" s="43"/>
      <c r="D182" s="43"/>
      <c r="E182" s="43"/>
      <c r="F182" s="44"/>
      <c r="G182" s="43"/>
      <c r="H182" s="43"/>
      <c r="I182" s="99"/>
      <c r="J182" s="43"/>
      <c r="K182" s="55"/>
    </row>
    <row r="183" spans="1:15" s="5" customFormat="1" ht="14.25">
      <c r="A183" s="52" t="s">
        <v>39</v>
      </c>
      <c r="B183" s="43"/>
      <c r="C183" s="43"/>
      <c r="D183" s="43"/>
      <c r="E183" s="43"/>
      <c r="F183" s="44"/>
      <c r="G183" s="43"/>
      <c r="H183" s="43"/>
      <c r="I183" s="43"/>
      <c r="J183" s="43"/>
      <c r="K183" s="55"/>
    </row>
    <row r="184" spans="1:15" s="5" customFormat="1" ht="12.75">
      <c r="A184" s="46"/>
      <c r="B184" s="43"/>
      <c r="C184" s="43"/>
      <c r="D184" s="43"/>
      <c r="E184" s="43"/>
      <c r="F184" s="44"/>
      <c r="G184" s="43"/>
      <c r="H184" s="43"/>
      <c r="I184" s="43"/>
      <c r="J184" s="43"/>
      <c r="K184" s="55"/>
    </row>
    <row r="185" spans="1:15" s="5" customFormat="1" ht="12.75">
      <c r="A185" s="46"/>
      <c r="B185" s="43"/>
      <c r="C185" s="43"/>
      <c r="D185" s="43"/>
      <c r="E185" s="43"/>
      <c r="F185" s="44"/>
      <c r="G185" s="43"/>
      <c r="H185" s="43"/>
      <c r="I185" s="43"/>
      <c r="J185" s="43"/>
      <c r="K185" s="55"/>
    </row>
    <row r="186" spans="1:15" s="5" customFormat="1" ht="12.75">
      <c r="A186" s="43" t="s">
        <v>28</v>
      </c>
      <c r="B186" s="43"/>
      <c r="C186" s="46"/>
      <c r="D186" s="43"/>
      <c r="E186" s="43"/>
      <c r="F186" s="44"/>
      <c r="G186" s="43"/>
      <c r="H186" s="43"/>
      <c r="I186" s="45" t="s">
        <v>0</v>
      </c>
      <c r="J186" s="44">
        <f>+J150+1</f>
        <v>23</v>
      </c>
      <c r="K186" s="54"/>
    </row>
    <row r="187" spans="1:15" s="5" customFormat="1" ht="12.75">
      <c r="A187" s="43"/>
      <c r="B187" s="43"/>
      <c r="C187" s="43"/>
      <c r="D187" s="43"/>
      <c r="E187" s="43"/>
      <c r="F187" s="44"/>
      <c r="G187" s="43"/>
      <c r="H187" s="43"/>
      <c r="I187" s="43"/>
      <c r="J187" s="43"/>
      <c r="K187" s="55"/>
      <c r="O187" s="105"/>
    </row>
    <row r="188" spans="1:15" s="5" customFormat="1" ht="12.75">
      <c r="A188" s="43" t="s">
        <v>1</v>
      </c>
      <c r="B188" s="43"/>
      <c r="C188" s="43" t="s">
        <v>20</v>
      </c>
      <c r="D188" s="46"/>
      <c r="E188" s="46"/>
      <c r="F188" s="47"/>
      <c r="G188" s="46"/>
      <c r="H188" s="46"/>
      <c r="I188" s="43"/>
      <c r="J188" s="43"/>
      <c r="K188" s="55"/>
    </row>
    <row r="189" spans="1:15" s="5" customFormat="1" ht="12.75">
      <c r="A189" s="43" t="s">
        <v>2</v>
      </c>
      <c r="B189" s="46"/>
      <c r="C189" s="48" t="s">
        <v>102</v>
      </c>
      <c r="D189" s="46"/>
      <c r="E189" s="46"/>
      <c r="F189" s="47"/>
      <c r="G189" s="46"/>
      <c r="H189" s="46"/>
      <c r="I189" s="43"/>
      <c r="J189" s="43"/>
      <c r="K189" s="55"/>
    </row>
    <row r="190" spans="1:15" s="5" customFormat="1" ht="12.75">
      <c r="A190" s="43" t="s">
        <v>3</v>
      </c>
      <c r="B190" s="46"/>
      <c r="C190" s="49" t="str">
        <f>C$12</f>
        <v>May 2011</v>
      </c>
      <c r="D190" s="49"/>
      <c r="E190" s="49"/>
      <c r="F190" s="50"/>
      <c r="G190" s="49"/>
      <c r="H190" s="49"/>
      <c r="I190" s="43"/>
      <c r="J190" s="43"/>
      <c r="K190" s="55"/>
    </row>
    <row r="191" spans="1:15" s="5" customFormat="1" ht="12.75">
      <c r="A191" s="43" t="s">
        <v>4</v>
      </c>
      <c r="B191" s="46"/>
      <c r="C191" s="98">
        <v>2012</v>
      </c>
      <c r="D191" s="46"/>
      <c r="E191" s="46"/>
      <c r="F191" s="44"/>
      <c r="G191" s="43"/>
      <c r="H191" s="46"/>
      <c r="I191" s="47"/>
      <c r="J191" s="43"/>
      <c r="K191" s="55"/>
    </row>
    <row r="192" spans="1:15" s="5" customFormat="1" ht="12.75">
      <c r="A192" s="43"/>
      <c r="B192" s="46"/>
      <c r="C192" s="46"/>
      <c r="D192" s="46"/>
      <c r="E192" s="46"/>
      <c r="F192" s="44"/>
      <c r="G192" s="43"/>
      <c r="H192" s="46"/>
      <c r="I192" s="47"/>
      <c r="J192" s="43"/>
      <c r="K192" s="55"/>
    </row>
    <row r="193" spans="1:13" s="5" customFormat="1" ht="12.75">
      <c r="A193" s="44" t="s">
        <v>5</v>
      </c>
      <c r="B193" s="44" t="s">
        <v>6</v>
      </c>
      <c r="C193" s="44" t="s">
        <v>7</v>
      </c>
      <c r="D193" s="44" t="s">
        <v>8</v>
      </c>
      <c r="E193" s="44" t="s">
        <v>9</v>
      </c>
      <c r="F193" s="47" t="s">
        <v>10</v>
      </c>
      <c r="G193" s="47" t="s">
        <v>31</v>
      </c>
      <c r="H193" s="44" t="s">
        <v>11</v>
      </c>
      <c r="I193" s="44" t="s">
        <v>12</v>
      </c>
      <c r="J193" s="43"/>
      <c r="K193" s="55"/>
    </row>
    <row r="194" spans="1:13" s="5" customFormat="1" ht="13.5" thickBot="1">
      <c r="A194" s="44"/>
      <c r="B194" s="44"/>
      <c r="C194" s="44"/>
      <c r="D194" s="44"/>
      <c r="E194" s="44" t="s">
        <v>13</v>
      </c>
      <c r="F194" s="47"/>
      <c r="G194" s="47"/>
      <c r="H194" s="47" t="s">
        <v>14</v>
      </c>
      <c r="I194" s="44" t="s">
        <v>15</v>
      </c>
      <c r="J194" s="43"/>
      <c r="K194" s="55"/>
    </row>
    <row r="195" spans="1:13" s="5" customFormat="1" ht="15.75" thickBot="1">
      <c r="A195" s="7"/>
      <c r="B195" s="8"/>
      <c r="C195" s="9"/>
      <c r="D195" s="305" t="s">
        <v>21</v>
      </c>
      <c r="E195" s="306"/>
      <c r="F195" s="307" t="s">
        <v>22</v>
      </c>
      <c r="G195" s="307"/>
      <c r="H195" s="307"/>
      <c r="I195" s="306"/>
      <c r="J195" s="43"/>
      <c r="K195" s="55"/>
    </row>
    <row r="196" spans="1:13" s="5" customFormat="1" ht="51.75" thickBot="1">
      <c r="A196" s="56" t="s">
        <v>16</v>
      </c>
      <c r="B196" s="57" t="s">
        <v>23</v>
      </c>
      <c r="C196" s="58" t="s">
        <v>24</v>
      </c>
      <c r="D196" s="100" t="s">
        <v>40</v>
      </c>
      <c r="E196" s="58" t="s">
        <v>26</v>
      </c>
      <c r="F196" s="59" t="s">
        <v>27</v>
      </c>
      <c r="G196" s="40" t="s">
        <v>25</v>
      </c>
      <c r="H196" s="60" t="s">
        <v>26</v>
      </c>
      <c r="I196" s="115" t="s">
        <v>61</v>
      </c>
      <c r="J196" s="43"/>
      <c r="K196" s="55"/>
    </row>
    <row r="197" spans="1:13" s="5" customFormat="1" ht="12.75">
      <c r="A197" s="62">
        <v>2010</v>
      </c>
      <c r="B197" s="63">
        <v>534490.00855934958</v>
      </c>
      <c r="C197" s="103">
        <v>1334</v>
      </c>
      <c r="D197" s="63">
        <v>0</v>
      </c>
      <c r="E197" s="65">
        <f>+D197/C197</f>
        <v>0</v>
      </c>
      <c r="F197" s="66">
        <v>0</v>
      </c>
      <c r="G197" s="67">
        <f>+F197</f>
        <v>0</v>
      </c>
      <c r="H197" s="68">
        <f>+G197/C197</f>
        <v>0</v>
      </c>
      <c r="I197" s="69">
        <f>+G197-D197</f>
        <v>0</v>
      </c>
      <c r="J197" s="43"/>
      <c r="K197" s="55"/>
    </row>
    <row r="198" spans="1:13" s="5" customFormat="1" ht="12.75">
      <c r="A198" s="70">
        <v>2011</v>
      </c>
      <c r="B198" s="63">
        <v>547696.76814248285</v>
      </c>
      <c r="C198" s="104">
        <v>1334</v>
      </c>
      <c r="D198" s="71">
        <f>L198</f>
        <v>18</v>
      </c>
      <c r="E198" s="73">
        <f>+D198/C198</f>
        <v>1.3493253373313344E-2</v>
      </c>
      <c r="F198" s="74">
        <v>0</v>
      </c>
      <c r="G198" s="75">
        <f>+F198</f>
        <v>0</v>
      </c>
      <c r="H198" s="76">
        <f>+G198/C198</f>
        <v>0</v>
      </c>
      <c r="I198" s="77">
        <f>+G198-D198</f>
        <v>-18</v>
      </c>
      <c r="J198" s="43"/>
      <c r="K198" s="55"/>
      <c r="L198" s="117">
        <v>18</v>
      </c>
      <c r="M198" s="91"/>
    </row>
    <row r="199" spans="1:13" s="5" customFormat="1" ht="12.75">
      <c r="A199" s="70">
        <v>2012</v>
      </c>
      <c r="B199" s="63">
        <v>561575.9303068415</v>
      </c>
      <c r="C199" s="104">
        <f>C198-L198</f>
        <v>1316</v>
      </c>
      <c r="D199" s="71">
        <f>L199+D198</f>
        <v>40</v>
      </c>
      <c r="E199" s="73">
        <f>+D199/C199</f>
        <v>3.0395136778115502E-2</v>
      </c>
      <c r="F199" s="74">
        <v>0</v>
      </c>
      <c r="G199" s="75">
        <f>+F199+G198</f>
        <v>0</v>
      </c>
      <c r="H199" s="76">
        <f>+G199/C199</f>
        <v>0</v>
      </c>
      <c r="I199" s="77">
        <f>+G199-D199</f>
        <v>-40</v>
      </c>
      <c r="J199" s="43"/>
      <c r="K199" s="55"/>
      <c r="L199" s="117">
        <v>22</v>
      </c>
      <c r="M199" s="91"/>
    </row>
    <row r="200" spans="1:13" s="5" customFormat="1" ht="12.75">
      <c r="A200" s="70">
        <v>2013</v>
      </c>
      <c r="B200" s="63">
        <v>575597.69705652446</v>
      </c>
      <c r="C200" s="104">
        <f>C199-L199</f>
        <v>1294</v>
      </c>
      <c r="D200" s="71">
        <f>L200+D199</f>
        <v>61</v>
      </c>
      <c r="E200" s="73">
        <f>+D200/C200</f>
        <v>4.714064914992272E-2</v>
      </c>
      <c r="F200" s="74"/>
      <c r="G200" s="75"/>
      <c r="H200" s="78"/>
      <c r="I200" s="77"/>
      <c r="J200" s="43"/>
      <c r="K200" s="55"/>
      <c r="L200" s="117">
        <v>21</v>
      </c>
      <c r="M200" s="91"/>
    </row>
    <row r="201" spans="1:13" s="5" customFormat="1" ht="12.75">
      <c r="A201" s="70">
        <v>2014</v>
      </c>
      <c r="B201" s="63">
        <v>590087.02019112988</v>
      </c>
      <c r="C201" s="104">
        <f>C200-L200</f>
        <v>1273</v>
      </c>
      <c r="D201" s="71">
        <f>L201+D200</f>
        <v>79</v>
      </c>
      <c r="E201" s="73">
        <f>+D201/C201</f>
        <v>6.2058130400628436E-2</v>
      </c>
      <c r="F201" s="74"/>
      <c r="G201" s="75"/>
      <c r="H201" s="78"/>
      <c r="I201" s="77"/>
      <c r="J201" s="43"/>
      <c r="K201" s="55"/>
      <c r="L201" s="117">
        <v>18</v>
      </c>
      <c r="M201" s="91"/>
    </row>
    <row r="202" spans="1:13" s="5" customFormat="1" ht="12.75">
      <c r="A202" s="70">
        <v>2015</v>
      </c>
      <c r="B202" s="71"/>
      <c r="C202" s="104"/>
      <c r="D202" s="71"/>
      <c r="E202" s="73"/>
      <c r="F202" s="74"/>
      <c r="G202" s="75"/>
      <c r="H202" s="78"/>
      <c r="I202" s="77"/>
      <c r="J202" s="43"/>
      <c r="K202" s="55"/>
      <c r="M202" s="91"/>
    </row>
    <row r="203" spans="1:13" s="5" customFormat="1" ht="12.75">
      <c r="A203" s="70">
        <v>2016</v>
      </c>
      <c r="B203" s="71"/>
      <c r="C203" s="72"/>
      <c r="D203" s="71"/>
      <c r="E203" s="73"/>
      <c r="F203" s="74"/>
      <c r="G203" s="75"/>
      <c r="H203" s="78"/>
      <c r="I203" s="77"/>
      <c r="J203" s="43"/>
      <c r="K203" s="55"/>
      <c r="M203" s="91"/>
    </row>
    <row r="204" spans="1:13" s="5" customFormat="1" ht="12.75">
      <c r="A204" s="70">
        <v>2017</v>
      </c>
      <c r="B204" s="71"/>
      <c r="C204" s="72"/>
      <c r="D204" s="71"/>
      <c r="E204" s="73"/>
      <c r="F204" s="74"/>
      <c r="G204" s="75"/>
      <c r="H204" s="78"/>
      <c r="I204" s="77"/>
      <c r="J204" s="43"/>
      <c r="K204" s="55"/>
    </row>
    <row r="205" spans="1:13" s="5" customFormat="1" ht="12.75">
      <c r="A205" s="70">
        <v>2018</v>
      </c>
      <c r="B205" s="71"/>
      <c r="C205" s="72"/>
      <c r="D205" s="71"/>
      <c r="E205" s="73"/>
      <c r="F205" s="74"/>
      <c r="G205" s="75"/>
      <c r="H205" s="78"/>
      <c r="I205" s="77"/>
      <c r="J205" s="43"/>
      <c r="K205" s="55"/>
    </row>
    <row r="206" spans="1:13" s="5" customFormat="1" ht="13.5" thickBot="1">
      <c r="A206" s="79">
        <v>2019</v>
      </c>
      <c r="B206" s="36"/>
      <c r="C206" s="37"/>
      <c r="D206" s="36"/>
      <c r="E206" s="80"/>
      <c r="F206" s="81"/>
      <c r="G206" s="82"/>
      <c r="H206" s="83"/>
      <c r="I206" s="84"/>
      <c r="J206" s="43"/>
      <c r="K206" s="55"/>
    </row>
    <row r="207" spans="1:13" s="5" customFormat="1" ht="13.5" thickBot="1">
      <c r="A207" s="43"/>
      <c r="B207" s="44"/>
      <c r="C207" s="93"/>
      <c r="D207" s="44"/>
      <c r="E207" s="43"/>
      <c r="F207" s="44"/>
      <c r="G207" s="43"/>
      <c r="H207" s="43"/>
      <c r="I207" s="43"/>
      <c r="J207" s="43"/>
      <c r="K207" s="55"/>
    </row>
    <row r="208" spans="1:13" s="5" customFormat="1" ht="13.5" thickBot="1">
      <c r="A208" s="11"/>
      <c r="B208" s="12"/>
      <c r="C208" s="13"/>
      <c r="D208" s="302" t="s">
        <v>33</v>
      </c>
      <c r="E208" s="303"/>
      <c r="F208" s="302" t="s">
        <v>34</v>
      </c>
      <c r="G208" s="303"/>
      <c r="H208" s="43"/>
      <c r="I208" s="43"/>
      <c r="J208" s="43"/>
      <c r="K208" s="55"/>
    </row>
    <row r="209" spans="1:11" s="5" customFormat="1" ht="13.5" thickBot="1">
      <c r="A209" s="41">
        <v>2012</v>
      </c>
      <c r="B209" s="15"/>
      <c r="C209" s="16"/>
      <c r="D209" s="17" t="s">
        <v>17</v>
      </c>
      <c r="E209" s="18" t="s">
        <v>18</v>
      </c>
      <c r="F209" s="17" t="s">
        <v>17</v>
      </c>
      <c r="G209" s="18" t="s">
        <v>18</v>
      </c>
      <c r="H209" s="43"/>
      <c r="I209" s="43"/>
      <c r="J209" s="43"/>
      <c r="K209" s="55"/>
    </row>
    <row r="210" spans="1:11" s="5" customFormat="1" ht="12.75">
      <c r="A210" s="85" t="s">
        <v>29</v>
      </c>
      <c r="B210" s="20"/>
      <c r="C210" s="21"/>
      <c r="D210" s="101">
        <v>0</v>
      </c>
      <c r="E210" s="23">
        <v>0</v>
      </c>
      <c r="F210" s="24">
        <v>0</v>
      </c>
      <c r="G210" s="25">
        <v>0</v>
      </c>
      <c r="H210" s="207"/>
      <c r="I210" s="207"/>
      <c r="J210" s="43"/>
      <c r="K210" s="55"/>
    </row>
    <row r="211" spans="1:11" s="5" customFormat="1" ht="12.75">
      <c r="A211" s="86" t="s">
        <v>30</v>
      </c>
      <c r="B211" s="27"/>
      <c r="C211" s="28"/>
      <c r="D211" s="29">
        <v>0</v>
      </c>
      <c r="E211" s="30">
        <v>0</v>
      </c>
      <c r="F211" s="31">
        <v>0</v>
      </c>
      <c r="G211" s="32">
        <v>0</v>
      </c>
      <c r="H211" s="207"/>
      <c r="I211" s="207"/>
      <c r="J211" s="43"/>
      <c r="K211" s="55"/>
    </row>
    <row r="212" spans="1:11" s="5" customFormat="1" ht="13.5" thickBot="1">
      <c r="A212" s="87" t="s">
        <v>32</v>
      </c>
      <c r="B212" s="34"/>
      <c r="C212" s="35"/>
      <c r="D212" s="36">
        <v>0</v>
      </c>
      <c r="E212" s="37">
        <v>0</v>
      </c>
      <c r="F212" s="38">
        <v>0</v>
      </c>
      <c r="G212" s="39">
        <v>0</v>
      </c>
      <c r="H212" s="207"/>
      <c r="I212" s="207"/>
      <c r="J212" s="43"/>
      <c r="K212" s="55"/>
    </row>
    <row r="213" spans="1:11" s="5" customFormat="1" ht="13.5" thickBot="1">
      <c r="A213" s="43"/>
      <c r="B213" s="43"/>
      <c r="C213" s="43"/>
      <c r="D213" s="43"/>
      <c r="E213" s="94"/>
      <c r="F213" s="95"/>
      <c r="G213" s="96"/>
      <c r="H213" s="97"/>
      <c r="I213" s="43"/>
      <c r="J213" s="43"/>
      <c r="K213" s="55"/>
    </row>
    <row r="214" spans="1:11" s="5" customFormat="1" ht="13.5" thickBot="1">
      <c r="A214" s="53">
        <v>2012</v>
      </c>
      <c r="B214" s="89"/>
      <c r="C214" s="14"/>
      <c r="D214" s="90"/>
      <c r="E214" s="43"/>
      <c r="F214" s="44"/>
      <c r="G214" s="43"/>
      <c r="H214" s="43"/>
      <c r="I214" s="43"/>
      <c r="J214" s="43"/>
      <c r="K214" s="55"/>
    </row>
    <row r="215" spans="1:11" s="5" customFormat="1" ht="12.75">
      <c r="A215" s="19" t="s">
        <v>38</v>
      </c>
      <c r="B215" s="20"/>
      <c r="C215" s="21"/>
      <c r="D215" s="102" t="s">
        <v>37</v>
      </c>
      <c r="E215" s="42" t="s">
        <v>98</v>
      </c>
      <c r="F215" s="44"/>
      <c r="G215" s="42"/>
      <c r="H215" s="43"/>
      <c r="I215" s="43"/>
      <c r="J215" s="43"/>
      <c r="K215" s="55"/>
    </row>
    <row r="216" spans="1:11" s="5" customFormat="1" ht="12.75">
      <c r="A216" s="26" t="s">
        <v>35</v>
      </c>
      <c r="B216" s="27"/>
      <c r="C216" s="28"/>
      <c r="D216" s="187">
        <f>'2012 ECCR Cost'!B16/1000</f>
        <v>153.28494000000001</v>
      </c>
      <c r="E216" s="43"/>
      <c r="F216" s="44"/>
      <c r="G216" s="43"/>
      <c r="H216" s="43"/>
      <c r="I216" s="43"/>
      <c r="J216" s="43"/>
      <c r="K216" s="55"/>
    </row>
    <row r="217" spans="1:11" s="5" customFormat="1" ht="13.5" thickBot="1">
      <c r="A217" s="33" t="s">
        <v>36</v>
      </c>
      <c r="B217" s="34"/>
      <c r="C217" s="35"/>
      <c r="D217" s="201">
        <f>'NPV 2012'!G31</f>
        <v>0</v>
      </c>
      <c r="E217" s="43"/>
      <c r="F217" s="44"/>
      <c r="G217" s="43"/>
      <c r="H217" s="43"/>
      <c r="I217" s="43"/>
      <c r="J217" s="43"/>
      <c r="K217" s="55"/>
    </row>
    <row r="218" spans="1:11" s="5" customFormat="1" ht="12.75">
      <c r="A218" s="46"/>
      <c r="B218" s="43"/>
      <c r="C218" s="43"/>
      <c r="D218" s="43"/>
      <c r="E218" s="43"/>
      <c r="F218" s="44"/>
      <c r="G218" s="43"/>
      <c r="H218" s="43"/>
      <c r="I218" s="99"/>
      <c r="J218" s="43"/>
      <c r="K218" s="55"/>
    </row>
    <row r="219" spans="1:11" s="5" customFormat="1" ht="14.25">
      <c r="A219" s="52" t="s">
        <v>39</v>
      </c>
      <c r="B219" s="43"/>
      <c r="C219" s="43"/>
      <c r="D219" s="43"/>
      <c r="E219" s="43"/>
      <c r="F219" s="97"/>
      <c r="G219" s="43"/>
      <c r="H219" s="43"/>
      <c r="I219" s="43"/>
      <c r="J219" s="43"/>
      <c r="K219" s="55"/>
    </row>
    <row r="220" spans="1:11" s="5" customFormat="1" ht="12.75">
      <c r="A220" s="46"/>
      <c r="B220" s="43"/>
      <c r="C220" s="43"/>
      <c r="D220" s="43"/>
      <c r="E220" s="43"/>
      <c r="F220" s="44"/>
      <c r="G220" s="43"/>
      <c r="H220" s="43"/>
      <c r="I220" s="43"/>
      <c r="J220" s="43"/>
      <c r="K220" s="55"/>
    </row>
  </sheetData>
  <mergeCells count="24">
    <mergeCell ref="D17:E17"/>
    <mergeCell ref="F17:I17"/>
    <mergeCell ref="D53:E53"/>
    <mergeCell ref="F53:I53"/>
    <mergeCell ref="D88:E88"/>
    <mergeCell ref="F88:I88"/>
    <mergeCell ref="D30:E30"/>
    <mergeCell ref="F30:G30"/>
    <mergeCell ref="D66:E66"/>
    <mergeCell ref="F66:G66"/>
    <mergeCell ref="D208:E208"/>
    <mergeCell ref="F208:G208"/>
    <mergeCell ref="D101:E101"/>
    <mergeCell ref="F101:G101"/>
    <mergeCell ref="D137:E137"/>
    <mergeCell ref="F137:G137"/>
    <mergeCell ref="D172:E172"/>
    <mergeCell ref="F172:G172"/>
    <mergeCell ref="D124:E124"/>
    <mergeCell ref="F124:I124"/>
    <mergeCell ref="D159:E159"/>
    <mergeCell ref="F159:I159"/>
    <mergeCell ref="D195:E195"/>
    <mergeCell ref="F195:I195"/>
  </mergeCells>
  <printOptions horizontalCentered="1"/>
  <pageMargins left="0.25" right="0.25" top="0.5" bottom="0.5" header="0.5" footer="0.5"/>
  <pageSetup scale="90" fitToHeight="30" orientation="landscape" r:id="rId1"/>
  <headerFooter alignWithMargins="0"/>
  <rowBreaks count="5" manualBreakCount="5">
    <brk id="43" max="9" man="1"/>
    <brk id="78" max="16383" man="1"/>
    <brk id="114" max="16383" man="1"/>
    <brk id="149" max="9" man="1"/>
    <brk id="185" max="9" man="1"/>
  </rowBreaks>
  <ignoredErrors>
    <ignoredError sqref="E56:E58 H5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37"/>
  <sheetViews>
    <sheetView zoomScaleNormal="100" workbookViewId="0">
      <selection activeCell="F5" sqref="F5"/>
    </sheetView>
  </sheetViews>
  <sheetFormatPr defaultRowHeight="11.25"/>
  <cols>
    <col min="1" max="1" width="2.140625" style="1" customWidth="1"/>
    <col min="2" max="2" width="23.7109375" style="1" customWidth="1"/>
    <col min="3" max="3" width="9.140625" style="118" hidden="1" customWidth="1"/>
    <col min="4" max="4" width="8.85546875" style="1" hidden="1" customWidth="1"/>
    <col min="5" max="6" width="11.140625" style="118" customWidth="1"/>
    <col min="7" max="8" width="12.28515625" style="118" customWidth="1"/>
    <col min="9" max="9" width="9.85546875" style="118" customWidth="1"/>
    <col min="10" max="10" width="10.42578125" style="118" customWidth="1"/>
    <col min="11" max="11" width="11.140625" style="122" customWidth="1"/>
    <col min="12" max="12" width="12.28515625" style="118" customWidth="1"/>
    <col min="13" max="13" width="10.85546875" style="118" customWidth="1"/>
    <col min="14" max="14" width="11" style="118" customWidth="1"/>
    <col min="15" max="15" width="10.42578125" style="118" customWidth="1"/>
    <col min="16" max="16" width="11.140625" style="118" customWidth="1"/>
    <col min="17" max="17" width="12.28515625" style="118" customWidth="1"/>
    <col min="18" max="18" width="9.140625" style="1"/>
    <col min="19" max="20" width="9.140625" style="1" customWidth="1"/>
    <col min="21" max="16384" width="9.140625" style="1"/>
  </cols>
  <sheetData>
    <row r="1" spans="2:20" s="315" customFormat="1">
      <c r="B1" s="315" t="s">
        <v>20</v>
      </c>
      <c r="C1" s="313"/>
      <c r="E1" s="313"/>
      <c r="F1" s="313"/>
      <c r="G1" s="313"/>
      <c r="H1" s="313"/>
      <c r="I1" s="313"/>
      <c r="J1" s="313"/>
      <c r="K1" s="314"/>
      <c r="L1" s="313"/>
      <c r="M1" s="313"/>
      <c r="N1" s="313"/>
      <c r="O1" s="313"/>
      <c r="P1" s="313"/>
      <c r="Q1" s="313"/>
    </row>
    <row r="2" spans="2:20" s="315" customFormat="1">
      <c r="B2" s="315" t="s">
        <v>120</v>
      </c>
      <c r="C2" s="313"/>
      <c r="E2" s="313"/>
      <c r="F2" s="313"/>
      <c r="G2" s="313"/>
      <c r="H2" s="313"/>
      <c r="I2" s="313"/>
      <c r="J2" s="313"/>
      <c r="K2" s="314"/>
      <c r="L2" s="313"/>
      <c r="M2" s="313"/>
      <c r="N2" s="313"/>
      <c r="O2" s="313"/>
      <c r="P2" s="313"/>
      <c r="Q2" s="313"/>
    </row>
    <row r="3" spans="2:20" s="315" customFormat="1">
      <c r="B3" s="315" t="s">
        <v>121</v>
      </c>
      <c r="C3" s="313"/>
      <c r="E3" s="313"/>
      <c r="F3" s="313"/>
      <c r="G3" s="313"/>
      <c r="H3" s="313"/>
      <c r="I3" s="313"/>
      <c r="J3" s="313"/>
      <c r="K3" s="314"/>
      <c r="L3" s="313"/>
      <c r="M3" s="313"/>
      <c r="N3" s="313"/>
      <c r="O3" s="313"/>
      <c r="P3" s="313"/>
      <c r="Q3" s="313"/>
    </row>
    <row r="4" spans="2:20" s="315" customFormat="1">
      <c r="B4" s="315" t="s">
        <v>122</v>
      </c>
      <c r="C4" s="313"/>
      <c r="E4" s="313"/>
      <c r="F4" s="313"/>
      <c r="G4" s="313"/>
      <c r="H4" s="313"/>
      <c r="I4" s="313"/>
      <c r="J4" s="313"/>
      <c r="K4" s="314"/>
      <c r="L4" s="313"/>
      <c r="M4" s="313"/>
      <c r="N4" s="313"/>
      <c r="O4" s="313"/>
      <c r="P4" s="313"/>
      <c r="Q4" s="313"/>
    </row>
    <row r="5" spans="2:20" s="315" customFormat="1">
      <c r="B5" s="315" t="s">
        <v>123</v>
      </c>
      <c r="C5" s="313"/>
      <c r="E5" s="313"/>
      <c r="F5" s="313"/>
      <c r="G5" s="313"/>
      <c r="H5" s="313"/>
      <c r="I5" s="313"/>
      <c r="J5" s="313"/>
      <c r="K5" s="314"/>
      <c r="L5" s="313"/>
      <c r="M5" s="313"/>
      <c r="N5" s="313"/>
      <c r="O5" s="313"/>
      <c r="P5" s="313"/>
      <c r="Q5" s="313"/>
    </row>
    <row r="6" spans="2:20" s="315" customFormat="1">
      <c r="B6" s="315" t="s">
        <v>127</v>
      </c>
      <c r="C6" s="313"/>
      <c r="E6" s="313"/>
      <c r="F6" s="313"/>
      <c r="G6" s="313"/>
      <c r="H6" s="313"/>
      <c r="I6" s="313"/>
      <c r="J6" s="313"/>
      <c r="K6" s="314"/>
      <c r="L6" s="313"/>
      <c r="M6" s="313"/>
      <c r="N6" s="313"/>
      <c r="O6" s="313"/>
      <c r="P6" s="313"/>
      <c r="Q6" s="313"/>
    </row>
    <row r="7" spans="2:20" s="315" customFormat="1">
      <c r="C7" s="313"/>
      <c r="E7" s="313"/>
      <c r="F7" s="313"/>
      <c r="G7" s="313"/>
      <c r="H7" s="313"/>
      <c r="I7" s="313"/>
      <c r="J7" s="313"/>
      <c r="K7" s="314"/>
      <c r="L7" s="313"/>
      <c r="M7" s="313"/>
      <c r="N7" s="313"/>
      <c r="O7" s="313"/>
      <c r="P7" s="313"/>
      <c r="Q7" s="313"/>
    </row>
    <row r="8" spans="2:20" ht="20.25" customHeight="1" thickBot="1">
      <c r="B8" s="121" t="s">
        <v>66</v>
      </c>
      <c r="S8" s="107" t="s">
        <v>65</v>
      </c>
    </row>
    <row r="9" spans="2:20" s="108" customFormat="1" ht="18" customHeight="1" thickBot="1">
      <c r="B9" s="121" t="s">
        <v>67</v>
      </c>
      <c r="C9" s="123"/>
      <c r="E9" s="124" t="s">
        <v>68</v>
      </c>
      <c r="F9" s="124" t="s">
        <v>68</v>
      </c>
      <c r="G9" s="124" t="s">
        <v>68</v>
      </c>
      <c r="H9" s="124" t="s">
        <v>68</v>
      </c>
      <c r="I9" s="124" t="s">
        <v>68</v>
      </c>
      <c r="J9" s="124" t="s">
        <v>68</v>
      </c>
      <c r="K9" s="125" t="s">
        <v>68</v>
      </c>
      <c r="L9" s="124" t="s">
        <v>68</v>
      </c>
      <c r="M9" s="124" t="s">
        <v>68</v>
      </c>
      <c r="N9" s="124" t="s">
        <v>68</v>
      </c>
      <c r="O9" s="124" t="s">
        <v>68</v>
      </c>
      <c r="P9" s="124" t="s">
        <v>68</v>
      </c>
      <c r="Q9" s="123"/>
      <c r="S9" s="182" t="s">
        <v>89</v>
      </c>
    </row>
    <row r="10" spans="2:20" ht="12" thickBot="1">
      <c r="B10" s="126" t="s">
        <v>69</v>
      </c>
      <c r="C10" s="127">
        <v>2012</v>
      </c>
      <c r="E10" s="128" t="s">
        <v>60</v>
      </c>
      <c r="F10" s="129" t="s">
        <v>59</v>
      </c>
      <c r="G10" s="128" t="s">
        <v>58</v>
      </c>
      <c r="H10" s="128" t="s">
        <v>57</v>
      </c>
      <c r="I10" s="128" t="s">
        <v>56</v>
      </c>
      <c r="J10" s="128" t="s">
        <v>55</v>
      </c>
      <c r="K10" s="130" t="s">
        <v>54</v>
      </c>
      <c r="L10" s="128" t="s">
        <v>53</v>
      </c>
      <c r="M10" s="128" t="s">
        <v>70</v>
      </c>
      <c r="N10" s="128" t="s">
        <v>63</v>
      </c>
      <c r="O10" s="128" t="s">
        <v>64</v>
      </c>
      <c r="P10" s="128" t="s">
        <v>65</v>
      </c>
      <c r="Q10" s="127" t="s">
        <v>52</v>
      </c>
    </row>
    <row r="11" spans="2:20">
      <c r="B11" s="131" t="s">
        <v>71</v>
      </c>
      <c r="C11" s="132"/>
      <c r="D11" s="120"/>
      <c r="E11" s="133"/>
      <c r="F11" s="133"/>
      <c r="G11" s="133"/>
      <c r="H11" s="133"/>
      <c r="I11" s="133"/>
      <c r="J11" s="134"/>
      <c r="K11" s="135"/>
      <c r="L11" s="136"/>
      <c r="M11" s="133"/>
      <c r="N11" s="133"/>
      <c r="O11" s="133"/>
      <c r="P11" s="133"/>
      <c r="Q11" s="132"/>
      <c r="S11" s="206">
        <v>1145</v>
      </c>
      <c r="T11" s="226"/>
    </row>
    <row r="12" spans="2:20" s="2" customFormat="1">
      <c r="B12" s="137" t="s">
        <v>72</v>
      </c>
      <c r="C12" s="138"/>
      <c r="D12" s="139"/>
      <c r="E12" s="138">
        <v>15.4</v>
      </c>
      <c r="F12" s="138">
        <v>22.44</v>
      </c>
      <c r="G12" s="138">
        <v>31.239999999999942</v>
      </c>
      <c r="H12" s="138">
        <v>22.66</v>
      </c>
      <c r="I12" s="138">
        <v>16.72</v>
      </c>
      <c r="J12" s="140">
        <v>17.16</v>
      </c>
      <c r="K12" s="138">
        <v>13.2</v>
      </c>
      <c r="L12" s="141">
        <v>17.600000000000001</v>
      </c>
      <c r="M12" s="141">
        <v>22.88</v>
      </c>
      <c r="N12" s="138">
        <v>30.14</v>
      </c>
      <c r="O12" s="138">
        <v>17.38</v>
      </c>
      <c r="P12" s="138">
        <v>22.22</v>
      </c>
      <c r="Q12" s="203">
        <f>SUM(E12:P12)</f>
        <v>249.03999999999994</v>
      </c>
      <c r="R12" s="223"/>
      <c r="S12" s="3"/>
      <c r="T12" s="227"/>
    </row>
    <row r="13" spans="2:20">
      <c r="B13" s="143" t="s">
        <v>73</v>
      </c>
      <c r="C13" s="144"/>
      <c r="D13" s="120"/>
      <c r="E13" s="138">
        <v>0.10374</v>
      </c>
      <c r="F13" s="138">
        <v>0.15116399999999999</v>
      </c>
      <c r="G13" s="138">
        <f>210444/1000000</f>
        <v>0.21044399999999999</v>
      </c>
      <c r="H13" s="138">
        <v>0.15</v>
      </c>
      <c r="I13" s="138">
        <v>0.11</v>
      </c>
      <c r="J13" s="140">
        <v>0.11519600000000001</v>
      </c>
      <c r="K13" s="138">
        <v>8.8919999999999999E-2</v>
      </c>
      <c r="L13" s="141">
        <v>0.11856</v>
      </c>
      <c r="M13" s="141">
        <v>0.15412799999999999</v>
      </c>
      <c r="N13" s="138">
        <v>0.20303399999999999</v>
      </c>
      <c r="O13" s="138">
        <v>0.117078</v>
      </c>
      <c r="P13" s="138">
        <f>149682/1000000</f>
        <v>0.14968200000000001</v>
      </c>
      <c r="Q13" s="221">
        <f>SUM(E13:P13)</f>
        <v>1.6719459999999999</v>
      </c>
      <c r="R13" s="225"/>
      <c r="S13" s="107"/>
      <c r="T13" s="227"/>
    </row>
    <row r="14" spans="2:20">
      <c r="B14" s="143" t="s">
        <v>74</v>
      </c>
      <c r="C14" s="144"/>
      <c r="D14" s="120"/>
      <c r="E14" s="138">
        <v>31.5</v>
      </c>
      <c r="F14" s="138">
        <v>45.9</v>
      </c>
      <c r="G14" s="138">
        <v>63.900000000000162</v>
      </c>
      <c r="H14" s="138">
        <v>46.35</v>
      </c>
      <c r="I14" s="138">
        <v>34.200000000000003</v>
      </c>
      <c r="J14" s="140">
        <v>35.1</v>
      </c>
      <c r="K14" s="138">
        <v>27</v>
      </c>
      <c r="L14" s="141">
        <v>36</v>
      </c>
      <c r="M14" s="141">
        <v>46.8</v>
      </c>
      <c r="N14" s="138">
        <v>61.65</v>
      </c>
      <c r="O14" s="138">
        <v>35.549999999999997</v>
      </c>
      <c r="P14" s="138">
        <v>45.45</v>
      </c>
      <c r="Q14" s="203">
        <f>SUM(E14:P14)</f>
        <v>509.4000000000002</v>
      </c>
      <c r="R14" s="223"/>
      <c r="S14" s="107"/>
      <c r="T14" s="227"/>
    </row>
    <row r="15" spans="2:20">
      <c r="B15" s="145"/>
      <c r="C15" s="146"/>
      <c r="D15" s="120"/>
      <c r="E15" s="146"/>
      <c r="F15" s="146"/>
      <c r="G15" s="146"/>
      <c r="H15" s="146"/>
      <c r="I15" s="146"/>
      <c r="J15" s="146"/>
      <c r="K15" s="147"/>
      <c r="L15" s="146"/>
      <c r="M15" s="146"/>
      <c r="N15" s="146"/>
      <c r="O15" s="146"/>
      <c r="P15" s="146"/>
      <c r="Q15" s="204"/>
      <c r="S15" s="107"/>
      <c r="T15" s="198"/>
    </row>
    <row r="16" spans="2:20">
      <c r="B16" s="148" t="s">
        <v>75</v>
      </c>
      <c r="C16" s="149"/>
      <c r="D16" s="120"/>
      <c r="E16" s="149"/>
      <c r="F16" s="149"/>
      <c r="G16" s="149"/>
      <c r="H16" s="149"/>
      <c r="I16" s="149"/>
      <c r="J16" s="149"/>
      <c r="K16" s="140"/>
      <c r="L16" s="149"/>
      <c r="M16" s="149"/>
      <c r="N16" s="149"/>
      <c r="O16" s="149"/>
      <c r="P16" s="149"/>
      <c r="Q16" s="205"/>
      <c r="S16" s="183">
        <v>113</v>
      </c>
      <c r="T16" s="198"/>
    </row>
    <row r="17" spans="2:20" s="2" customFormat="1">
      <c r="B17" s="137" t="s">
        <v>76</v>
      </c>
      <c r="C17" s="138"/>
      <c r="D17" s="139"/>
      <c r="E17" s="138">
        <v>0</v>
      </c>
      <c r="F17" s="138">
        <v>0</v>
      </c>
      <c r="G17" s="138">
        <v>0</v>
      </c>
      <c r="H17" s="138">
        <v>4.62</v>
      </c>
      <c r="I17" s="138">
        <v>8.58</v>
      </c>
      <c r="J17" s="138">
        <v>2.42</v>
      </c>
      <c r="K17" s="140">
        <v>3.08</v>
      </c>
      <c r="L17" s="138">
        <v>2.2000000000000002</v>
      </c>
      <c r="M17" s="138">
        <v>0.22</v>
      </c>
      <c r="N17" s="138">
        <v>0.66</v>
      </c>
      <c r="O17" s="138">
        <v>0.88</v>
      </c>
      <c r="P17" s="138">
        <v>2.2000000000000002</v>
      </c>
      <c r="Q17" s="203">
        <f>SUM(E17:P17)</f>
        <v>24.859999999999996</v>
      </c>
      <c r="S17" s="3"/>
      <c r="T17" s="227"/>
    </row>
    <row r="18" spans="2:20">
      <c r="B18" s="143" t="s">
        <v>62</v>
      </c>
      <c r="C18" s="144"/>
      <c r="D18" s="120"/>
      <c r="E18" s="138">
        <v>0</v>
      </c>
      <c r="F18" s="138">
        <v>0</v>
      </c>
      <c r="G18" s="138">
        <v>0</v>
      </c>
      <c r="H18" s="138">
        <v>0.03</v>
      </c>
      <c r="I18" s="138">
        <v>0.06</v>
      </c>
      <c r="J18" s="138">
        <v>1.6302000000000001E-2</v>
      </c>
      <c r="K18" s="140">
        <v>2.0747999999999999E-2</v>
      </c>
      <c r="L18" s="138">
        <v>1.482E-2</v>
      </c>
      <c r="M18" s="138">
        <v>1.482E-3</v>
      </c>
      <c r="N18" s="138">
        <v>4.4460000000000003E-3</v>
      </c>
      <c r="O18" s="138">
        <v>5.9280000000000001E-3</v>
      </c>
      <c r="P18" s="138">
        <f>1482*10/1000000</f>
        <v>1.482E-2</v>
      </c>
      <c r="Q18" s="221">
        <f>SUM(E18:P18)</f>
        <v>0.168546</v>
      </c>
      <c r="R18" s="222"/>
      <c r="S18" s="3"/>
      <c r="T18" s="227"/>
    </row>
    <row r="19" spans="2:20">
      <c r="B19" s="143" t="s">
        <v>77</v>
      </c>
      <c r="C19" s="144"/>
      <c r="D19" s="120"/>
      <c r="E19" s="138">
        <v>0</v>
      </c>
      <c r="F19" s="138">
        <v>0</v>
      </c>
      <c r="G19" s="138">
        <v>0</v>
      </c>
      <c r="H19" s="138">
        <v>9.4499999999999993</v>
      </c>
      <c r="I19" s="138">
        <v>17.55</v>
      </c>
      <c r="J19" s="138">
        <v>2.6333000000000002</v>
      </c>
      <c r="K19" s="140">
        <v>6.3</v>
      </c>
      <c r="L19" s="138">
        <v>4.5</v>
      </c>
      <c r="M19" s="138">
        <v>0.45</v>
      </c>
      <c r="N19" s="138">
        <v>1.35</v>
      </c>
      <c r="O19" s="138">
        <v>1.8</v>
      </c>
      <c r="P19" s="138">
        <f>10*0.45</f>
        <v>4.5</v>
      </c>
      <c r="Q19" s="203">
        <f>SUM(E19:P19)</f>
        <v>48.533299999999997</v>
      </c>
      <c r="R19" s="224"/>
      <c r="S19" s="3"/>
      <c r="T19" s="227"/>
    </row>
    <row r="20" spans="2:20">
      <c r="B20" s="145"/>
      <c r="C20" s="146"/>
      <c r="D20" s="120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204"/>
      <c r="S20" s="3"/>
      <c r="T20" s="198"/>
    </row>
    <row r="21" spans="2:20">
      <c r="B21" s="148" t="s">
        <v>78</v>
      </c>
      <c r="C21" s="149"/>
      <c r="D21" s="120"/>
      <c r="E21" s="151"/>
      <c r="F21" s="151"/>
      <c r="G21" s="151"/>
      <c r="H21" s="151"/>
      <c r="I21" s="151"/>
      <c r="J21" s="151"/>
      <c r="K21" s="140"/>
      <c r="L21" s="151"/>
      <c r="M21" s="151"/>
      <c r="N21" s="151"/>
      <c r="O21" s="151"/>
      <c r="P21" s="151"/>
      <c r="Q21" s="213"/>
      <c r="S21" s="183">
        <v>225</v>
      </c>
      <c r="T21" s="198"/>
    </row>
    <row r="22" spans="2:20" s="2" customFormat="1">
      <c r="B22" s="137" t="s">
        <v>76</v>
      </c>
      <c r="C22" s="138"/>
      <c r="D22" s="139"/>
      <c r="E22" s="138">
        <v>93.5</v>
      </c>
      <c r="F22" s="138">
        <v>161.03200000000004</v>
      </c>
      <c r="G22" s="138">
        <v>50.006499999999996</v>
      </c>
      <c r="H22" s="138">
        <v>23.66</v>
      </c>
      <c r="I22" s="138">
        <v>7.36</v>
      </c>
      <c r="J22" s="138">
        <v>15.383599999999999</v>
      </c>
      <c r="K22" s="140">
        <v>66.361099999999993</v>
      </c>
      <c r="L22" s="138">
        <v>107.1052</v>
      </c>
      <c r="M22" s="138">
        <v>17.2882</v>
      </c>
      <c r="N22" s="138">
        <v>29.8093</v>
      </c>
      <c r="O22" s="138">
        <v>18.274699999999999</v>
      </c>
      <c r="P22" s="138">
        <v>104.1801</v>
      </c>
      <c r="Q22" s="203">
        <f>SUM(E22:P22)</f>
        <v>693.96070000000009</v>
      </c>
      <c r="S22" s="3"/>
      <c r="T22" s="228"/>
    </row>
    <row r="23" spans="2:20">
      <c r="B23" s="143" t="s">
        <v>62</v>
      </c>
      <c r="C23" s="144"/>
      <c r="D23" s="120"/>
      <c r="E23" s="138">
        <v>0.31881399999999999</v>
      </c>
      <c r="F23" s="138">
        <v>0.50893646999999997</v>
      </c>
      <c r="G23" s="138">
        <f>158041.24/1000000</f>
        <v>0.15804124</v>
      </c>
      <c r="H23" s="138">
        <v>7.0000000000000007E-2</v>
      </c>
      <c r="I23" s="138">
        <v>0.02</v>
      </c>
      <c r="J23" s="138">
        <v>4.8618000000000001E-2</v>
      </c>
      <c r="K23" s="140">
        <v>0.209727</v>
      </c>
      <c r="L23" s="138">
        <v>0.33849600000000002</v>
      </c>
      <c r="M23" s="138">
        <v>5.4637999999999999E-2</v>
      </c>
      <c r="N23" s="138">
        <v>9.4209219999999996E-2</v>
      </c>
      <c r="O23" s="138">
        <v>5.7755250000000001E-2</v>
      </c>
      <c r="P23" s="138">
        <f>329250.81/1000000</f>
        <v>0.32925081</v>
      </c>
      <c r="Q23" s="203">
        <f>SUM(E23:P23)</f>
        <v>2.2084859900000002</v>
      </c>
      <c r="S23" s="107"/>
      <c r="T23" s="198"/>
    </row>
    <row r="24" spans="2:20">
      <c r="B24" s="143" t="s">
        <v>77</v>
      </c>
      <c r="C24" s="144"/>
      <c r="D24" s="120"/>
      <c r="E24" s="138">
        <v>2.79</v>
      </c>
      <c r="F24" s="138">
        <v>4.7824999999999998</v>
      </c>
      <c r="G24" s="138">
        <v>1.4855999999999998</v>
      </c>
      <c r="H24" s="138">
        <v>0.7</v>
      </c>
      <c r="I24" s="138">
        <v>0.22</v>
      </c>
      <c r="J24" s="138">
        <v>0.45689999999999997</v>
      </c>
      <c r="K24" s="140">
        <v>1.9712000000000001</v>
      </c>
      <c r="L24" s="138">
        <v>3.1817000000000002</v>
      </c>
      <c r="M24" s="138">
        <v>0.51349999999999996</v>
      </c>
      <c r="N24" s="138">
        <v>0.88549999999999995</v>
      </c>
      <c r="O24" s="138">
        <v>0.54279999999999995</v>
      </c>
      <c r="P24" s="138">
        <v>3.0945999999999998</v>
      </c>
      <c r="Q24" s="203">
        <f>SUM(E24:P24)</f>
        <v>20.624299999999998</v>
      </c>
      <c r="S24" s="107"/>
      <c r="T24" s="198"/>
    </row>
    <row r="25" spans="2:20">
      <c r="B25" s="145"/>
      <c r="C25" s="146"/>
      <c r="D25" s="120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204"/>
      <c r="S25" s="107"/>
      <c r="T25" s="198"/>
    </row>
    <row r="26" spans="2:20">
      <c r="B26" s="148" t="s">
        <v>79</v>
      </c>
      <c r="C26" s="149"/>
      <c r="D26" s="120"/>
      <c r="E26" s="149"/>
      <c r="F26" s="149"/>
      <c r="G26" s="149"/>
      <c r="H26" s="149"/>
      <c r="I26" s="149"/>
      <c r="J26" s="149"/>
      <c r="K26" s="140"/>
      <c r="L26" s="149"/>
      <c r="M26" s="149"/>
      <c r="N26" s="149"/>
      <c r="O26" s="149"/>
      <c r="P26" s="149"/>
      <c r="Q26" s="205"/>
      <c r="S26" s="183">
        <v>22</v>
      </c>
      <c r="T26" s="198"/>
    </row>
    <row r="27" spans="2:20" s="2" customFormat="1">
      <c r="B27" s="137" t="s">
        <v>76</v>
      </c>
      <c r="C27" s="138"/>
      <c r="D27" s="139"/>
      <c r="E27" s="138">
        <v>0.96</v>
      </c>
      <c r="F27" s="138">
        <v>20.835799999999999</v>
      </c>
      <c r="G27" s="138">
        <v>15.411110000000001</v>
      </c>
      <c r="H27" s="138">
        <v>0</v>
      </c>
      <c r="I27" s="138">
        <v>0</v>
      </c>
      <c r="J27" s="138">
        <v>0</v>
      </c>
      <c r="K27" s="140">
        <v>0</v>
      </c>
      <c r="L27" s="138">
        <v>0</v>
      </c>
      <c r="M27" s="138"/>
      <c r="N27" s="138">
        <v>8.9594000000000005</v>
      </c>
      <c r="O27" s="138">
        <v>0</v>
      </c>
      <c r="P27" s="138">
        <v>0</v>
      </c>
      <c r="Q27" s="203">
        <f>SUM(E27:P27)</f>
        <v>46.166310000000003</v>
      </c>
      <c r="S27" s="3"/>
      <c r="T27" s="227"/>
    </row>
    <row r="28" spans="2:20">
      <c r="B28" s="143" t="s">
        <v>62</v>
      </c>
      <c r="C28" s="144"/>
      <c r="D28" s="120"/>
      <c r="E28" s="138">
        <v>3.509E-3</v>
      </c>
      <c r="F28" s="138">
        <v>7.6168342600000008E-2</v>
      </c>
      <c r="G28" s="138">
        <f>56337.3702/1000000</f>
        <v>5.63373702E-2</v>
      </c>
      <c r="H28" s="138">
        <v>0</v>
      </c>
      <c r="I28" s="138">
        <v>0</v>
      </c>
      <c r="J28" s="138">
        <v>0</v>
      </c>
      <c r="K28" s="140">
        <v>0</v>
      </c>
      <c r="L28" s="138">
        <v>0</v>
      </c>
      <c r="M28" s="138"/>
      <c r="N28" s="138">
        <v>3.2752387000000001E-2</v>
      </c>
      <c r="O28" s="138">
        <v>0</v>
      </c>
      <c r="P28" s="138">
        <v>0</v>
      </c>
      <c r="Q28" s="221">
        <f>SUM(E28:P28)</f>
        <v>0.16876709979999999</v>
      </c>
      <c r="R28" s="222"/>
      <c r="S28" s="107"/>
      <c r="T28" s="227"/>
    </row>
    <row r="29" spans="2:20">
      <c r="B29" s="143" t="s">
        <v>77</v>
      </c>
      <c r="C29" s="144"/>
      <c r="D29" s="120"/>
      <c r="E29" s="138">
        <v>7.0000000000000007E-2</v>
      </c>
      <c r="F29" s="138">
        <v>1.4809999999999999</v>
      </c>
      <c r="G29" s="138">
        <v>1.0953999999999999</v>
      </c>
      <c r="H29" s="138">
        <v>0</v>
      </c>
      <c r="I29" s="138">
        <v>0</v>
      </c>
      <c r="J29" s="138">
        <v>0</v>
      </c>
      <c r="K29" s="140">
        <v>0</v>
      </c>
      <c r="L29" s="138">
        <v>0</v>
      </c>
      <c r="M29" s="138"/>
      <c r="N29" s="138">
        <v>0.63680000000000003</v>
      </c>
      <c r="O29" s="138">
        <v>0</v>
      </c>
      <c r="P29" s="138">
        <v>0</v>
      </c>
      <c r="Q29" s="203">
        <f>SUM(E29:P29)</f>
        <v>3.2831999999999999</v>
      </c>
      <c r="S29" s="107"/>
      <c r="T29" s="227"/>
    </row>
    <row r="30" spans="2:20">
      <c r="B30" s="145"/>
      <c r="C30" s="146"/>
      <c r="D30" s="120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204"/>
      <c r="S30" s="107"/>
      <c r="T30" s="198"/>
    </row>
    <row r="31" spans="2:20">
      <c r="B31" s="148" t="s">
        <v>80</v>
      </c>
      <c r="C31" s="149"/>
      <c r="D31" s="120"/>
      <c r="E31" s="149"/>
      <c r="F31" s="149"/>
      <c r="G31" s="149"/>
      <c r="H31" s="149"/>
      <c r="I31" s="149"/>
      <c r="J31" s="149"/>
      <c r="K31" s="150"/>
      <c r="L31" s="149"/>
      <c r="M31" s="149"/>
      <c r="N31" s="149"/>
      <c r="O31" s="149"/>
      <c r="P31" s="149"/>
      <c r="Q31" s="205"/>
      <c r="S31" s="183">
        <v>66</v>
      </c>
      <c r="T31" s="198"/>
    </row>
    <row r="32" spans="2:20" s="2" customFormat="1">
      <c r="B32" s="137" t="s">
        <v>76</v>
      </c>
      <c r="C32" s="138"/>
      <c r="D32" s="139"/>
      <c r="E32" s="138">
        <v>62.08</v>
      </c>
      <c r="F32" s="138">
        <v>74.95</v>
      </c>
      <c r="G32" s="138">
        <v>130.30679999999998</v>
      </c>
      <c r="H32" s="138">
        <v>114.71</v>
      </c>
      <c r="I32" s="138">
        <v>28.28</v>
      </c>
      <c r="J32" s="138">
        <v>14.48</v>
      </c>
      <c r="K32" s="140">
        <v>0</v>
      </c>
      <c r="L32" s="138">
        <v>26.658100000000001</v>
      </c>
      <c r="M32" s="138">
        <v>46.1233</v>
      </c>
      <c r="N32" s="138">
        <v>81.177899999999994</v>
      </c>
      <c r="O32" s="138">
        <v>21.898099999999999</v>
      </c>
      <c r="P32" s="138">
        <v>41.409500000000001</v>
      </c>
      <c r="Q32" s="203">
        <f>SUM(E32:P32)</f>
        <v>642.07369999999992</v>
      </c>
      <c r="S32" s="3"/>
      <c r="T32" s="228"/>
    </row>
    <row r="33" spans="2:19">
      <c r="B33" s="143" t="s">
        <v>62</v>
      </c>
      <c r="C33" s="144"/>
      <c r="D33" s="120"/>
      <c r="E33" s="138">
        <v>0.19237699999999999</v>
      </c>
      <c r="F33" s="138">
        <v>0.236873</v>
      </c>
      <c r="G33" s="138">
        <f>411821.2/1000000</f>
        <v>0.4118212</v>
      </c>
      <c r="H33" s="138">
        <v>0.36</v>
      </c>
      <c r="I33" s="138">
        <v>0.09</v>
      </c>
      <c r="J33" s="138">
        <v>4.5762999999999998E-2</v>
      </c>
      <c r="K33" s="140">
        <v>0</v>
      </c>
      <c r="L33" s="138">
        <v>8.4250000000000005E-2</v>
      </c>
      <c r="M33" s="138">
        <v>0.14576800000000001</v>
      </c>
      <c r="N33" s="138">
        <v>0.25655433999999999</v>
      </c>
      <c r="O33" s="138">
        <v>6.9206550000000006E-2</v>
      </c>
      <c r="P33" s="138">
        <f>130870.67/1000000</f>
        <v>0.13087066999999999</v>
      </c>
      <c r="Q33" s="203">
        <f>SUM(E33:P33)</f>
        <v>2.0234837600000004</v>
      </c>
      <c r="S33" s="3"/>
    </row>
    <row r="34" spans="2:19">
      <c r="B34" s="143" t="s">
        <v>77</v>
      </c>
      <c r="C34" s="144"/>
      <c r="D34" s="120"/>
      <c r="E34" s="138">
        <v>1.84</v>
      </c>
      <c r="F34" s="138">
        <v>2.2258999999999998</v>
      </c>
      <c r="G34" s="138">
        <v>3.8706</v>
      </c>
      <c r="H34" s="138">
        <v>3.41</v>
      </c>
      <c r="I34" s="138">
        <v>0.84</v>
      </c>
      <c r="J34" s="138">
        <v>0.43009999999999998</v>
      </c>
      <c r="K34" s="140">
        <v>0</v>
      </c>
      <c r="L34" s="138">
        <v>0.79179999999999995</v>
      </c>
      <c r="M34" s="138">
        <v>1.37</v>
      </c>
      <c r="N34" s="138">
        <v>2.4112</v>
      </c>
      <c r="O34" s="138">
        <v>0.65039999999999998</v>
      </c>
      <c r="P34" s="138">
        <v>1.2299</v>
      </c>
      <c r="Q34" s="203">
        <f>SUM(E34:P34)</f>
        <v>19.069900000000004</v>
      </c>
      <c r="S34" s="3"/>
    </row>
    <row r="35" spans="2:19">
      <c r="B35" s="145"/>
      <c r="C35" s="146"/>
      <c r="D35" s="120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S35" s="3"/>
    </row>
    <row r="36" spans="2:19" s="2" customFormat="1">
      <c r="B36" s="148" t="s">
        <v>81</v>
      </c>
      <c r="C36" s="151"/>
      <c r="D36" s="139"/>
      <c r="E36" s="151"/>
      <c r="F36" s="151"/>
      <c r="G36" s="151"/>
      <c r="H36" s="151"/>
      <c r="I36" s="151"/>
      <c r="J36" s="151"/>
      <c r="K36" s="140"/>
      <c r="L36" s="151"/>
      <c r="M36" s="151"/>
      <c r="N36" s="151"/>
      <c r="O36" s="151"/>
      <c r="P36" s="151"/>
      <c r="Q36" s="151"/>
      <c r="S36" s="186">
        <v>0</v>
      </c>
    </row>
    <row r="37" spans="2:19" s="2" customFormat="1" ht="10.5" customHeight="1">
      <c r="B37" s="137" t="s">
        <v>76</v>
      </c>
      <c r="C37" s="138"/>
      <c r="D37" s="139"/>
      <c r="E37" s="208">
        <v>0</v>
      </c>
      <c r="F37" s="208">
        <v>0</v>
      </c>
      <c r="G37" s="208">
        <v>0</v>
      </c>
      <c r="H37" s="208"/>
      <c r="I37" s="208"/>
      <c r="J37" s="208"/>
      <c r="K37" s="209">
        <v>0</v>
      </c>
      <c r="L37" s="208"/>
      <c r="M37" s="208"/>
      <c r="N37" s="208"/>
      <c r="O37" s="208"/>
      <c r="P37" s="208"/>
      <c r="Q37" s="211">
        <f>SUM(E37:P37)</f>
        <v>0</v>
      </c>
    </row>
    <row r="38" spans="2:19">
      <c r="B38" s="143" t="s">
        <v>62</v>
      </c>
      <c r="C38" s="144"/>
      <c r="D38" s="120"/>
      <c r="E38" s="208">
        <v>0</v>
      </c>
      <c r="F38" s="208">
        <v>0</v>
      </c>
      <c r="G38" s="208">
        <v>0</v>
      </c>
      <c r="H38" s="208"/>
      <c r="I38" s="208"/>
      <c r="J38" s="208"/>
      <c r="K38" s="209">
        <v>0</v>
      </c>
      <c r="L38" s="208"/>
      <c r="M38" s="208"/>
      <c r="N38" s="208"/>
      <c r="O38" s="208"/>
      <c r="P38" s="208"/>
      <c r="Q38" s="211">
        <f>SUM(E38:P38)</f>
        <v>0</v>
      </c>
    </row>
    <row r="39" spans="2:19" ht="12" thickBot="1">
      <c r="B39" s="152" t="s">
        <v>77</v>
      </c>
      <c r="C39" s="153"/>
      <c r="D39" s="120"/>
      <c r="E39" s="214">
        <v>0</v>
      </c>
      <c r="F39" s="214">
        <v>0</v>
      </c>
      <c r="G39" s="214">
        <v>0</v>
      </c>
      <c r="H39" s="214"/>
      <c r="I39" s="214"/>
      <c r="J39" s="214"/>
      <c r="K39" s="214">
        <v>0</v>
      </c>
      <c r="L39" s="214"/>
      <c r="M39" s="214"/>
      <c r="N39" s="214"/>
      <c r="O39" s="214"/>
      <c r="P39" s="214"/>
      <c r="Q39" s="215">
        <f>SUM(E39:P39)</f>
        <v>0</v>
      </c>
    </row>
    <row r="40" spans="2:19" ht="12" thickBot="1">
      <c r="C40" s="119"/>
      <c r="D40" s="120"/>
      <c r="E40" s="119"/>
      <c r="F40" s="119"/>
      <c r="G40" s="119"/>
      <c r="H40" s="119"/>
      <c r="I40" s="119"/>
      <c r="J40" s="119"/>
      <c r="K40" s="154"/>
      <c r="L40" s="119"/>
      <c r="M40" s="119"/>
      <c r="N40" s="119"/>
      <c r="O40" s="119"/>
      <c r="P40" s="119"/>
      <c r="Q40" s="119"/>
    </row>
    <row r="41" spans="2:19" ht="12" thickBot="1">
      <c r="B41" s="155" t="s">
        <v>52</v>
      </c>
      <c r="C41" s="156"/>
      <c r="D41" s="120"/>
      <c r="E41" s="127" t="s">
        <v>60</v>
      </c>
      <c r="F41" s="127" t="s">
        <v>59</v>
      </c>
      <c r="G41" s="127" t="s">
        <v>58</v>
      </c>
      <c r="H41" s="127" t="s">
        <v>57</v>
      </c>
      <c r="I41" s="127" t="s">
        <v>56</v>
      </c>
      <c r="J41" s="127" t="s">
        <v>55</v>
      </c>
      <c r="K41" s="157" t="s">
        <v>54</v>
      </c>
      <c r="L41" s="127" t="s">
        <v>53</v>
      </c>
      <c r="M41" s="127" t="s">
        <v>70</v>
      </c>
      <c r="N41" s="127" t="s">
        <v>63</v>
      </c>
      <c r="O41" s="127" t="s">
        <v>64</v>
      </c>
      <c r="P41" s="127" t="s">
        <v>65</v>
      </c>
      <c r="Q41" s="127" t="s">
        <v>52</v>
      </c>
    </row>
    <row r="42" spans="2:19" ht="12" thickBot="1">
      <c r="B42" s="158" t="s">
        <v>76</v>
      </c>
      <c r="C42" s="159"/>
      <c r="D42" s="120"/>
      <c r="E42" s="159">
        <f t="shared" ref="E42:P44" si="0">+E12+E17+E22+E27+E32+E37</f>
        <v>171.94</v>
      </c>
      <c r="F42" s="159">
        <f t="shared" si="0"/>
        <v>279.25780000000003</v>
      </c>
      <c r="G42" s="159">
        <f t="shared" si="0"/>
        <v>226.96440999999993</v>
      </c>
      <c r="H42" s="159">
        <f>+H12+H17+H22+H27+H32+H37</f>
        <v>165.64999999999998</v>
      </c>
      <c r="I42" s="159">
        <f t="shared" si="0"/>
        <v>60.94</v>
      </c>
      <c r="J42" s="159">
        <f t="shared" si="0"/>
        <v>49.443600000000004</v>
      </c>
      <c r="K42" s="160">
        <f t="shared" si="0"/>
        <v>82.641099999999994</v>
      </c>
      <c r="L42" s="159">
        <f t="shared" si="0"/>
        <v>153.5633</v>
      </c>
      <c r="M42" s="159">
        <f t="shared" si="0"/>
        <v>86.511499999999998</v>
      </c>
      <c r="N42" s="159">
        <f t="shared" si="0"/>
        <v>150.7466</v>
      </c>
      <c r="O42" s="159">
        <f t="shared" si="0"/>
        <v>58.4328</v>
      </c>
      <c r="P42" s="159">
        <f t="shared" si="0"/>
        <v>170.00960000000001</v>
      </c>
      <c r="Q42" s="159">
        <f>+Q37+Q32+Q27+Q22+Q17+Q12</f>
        <v>1656.1007099999999</v>
      </c>
    </row>
    <row r="43" spans="2:19" ht="12" thickBot="1">
      <c r="B43" s="158" t="s">
        <v>62</v>
      </c>
      <c r="C43" s="159"/>
      <c r="D43" s="120"/>
      <c r="E43" s="159">
        <f t="shared" si="0"/>
        <v>0.61843999999999999</v>
      </c>
      <c r="F43" s="159">
        <f t="shared" si="0"/>
        <v>0.97314181259999999</v>
      </c>
      <c r="G43" s="159">
        <f t="shared" si="0"/>
        <v>0.8366438102</v>
      </c>
      <c r="H43" s="159">
        <f>+H13+H18+H23+H28+H33+H38</f>
        <v>0.61</v>
      </c>
      <c r="I43" s="159">
        <f t="shared" si="0"/>
        <v>0.27999999999999997</v>
      </c>
      <c r="J43" s="159">
        <f t="shared" si="0"/>
        <v>0.225879</v>
      </c>
      <c r="K43" s="160">
        <f>+K14+K18+K23+K28+K33+K38</f>
        <v>27.230475000000002</v>
      </c>
      <c r="L43" s="159">
        <f t="shared" si="0"/>
        <v>0.55612600000000001</v>
      </c>
      <c r="M43" s="159">
        <f t="shared" si="0"/>
        <v>0.356016</v>
      </c>
      <c r="N43" s="159">
        <f t="shared" si="0"/>
        <v>0.59099594699999991</v>
      </c>
      <c r="O43" s="159">
        <f t="shared" si="0"/>
        <v>0.24996780000000002</v>
      </c>
      <c r="P43" s="159">
        <f t="shared" si="0"/>
        <v>0.62462348000000001</v>
      </c>
      <c r="Q43" s="159">
        <f>+Q38+Q33+Q28+Q23+Q18+Q13</f>
        <v>6.2412288498000015</v>
      </c>
    </row>
    <row r="44" spans="2:19" ht="12" thickBot="1">
      <c r="B44" s="158" t="s">
        <v>77</v>
      </c>
      <c r="C44" s="159"/>
      <c r="D44" s="120"/>
      <c r="E44" s="159">
        <f t="shared" si="0"/>
        <v>36.200000000000003</v>
      </c>
      <c r="F44" s="159">
        <f t="shared" si="0"/>
        <v>54.389400000000002</v>
      </c>
      <c r="G44" s="159">
        <f t="shared" si="0"/>
        <v>70.351600000000161</v>
      </c>
      <c r="H44" s="159">
        <f t="shared" si="0"/>
        <v>59.91</v>
      </c>
      <c r="I44" s="159">
        <f t="shared" si="0"/>
        <v>52.81</v>
      </c>
      <c r="J44" s="159">
        <f t="shared" si="0"/>
        <v>38.6203</v>
      </c>
      <c r="K44" s="160">
        <f>+K14+K19+K24+K29+K34+K39</f>
        <v>35.2712</v>
      </c>
      <c r="L44" s="159">
        <f t="shared" si="0"/>
        <v>44.473500000000001</v>
      </c>
      <c r="M44" s="159">
        <f t="shared" si="0"/>
        <v>49.133499999999998</v>
      </c>
      <c r="N44" s="159">
        <f t="shared" si="0"/>
        <v>66.933499999999995</v>
      </c>
      <c r="O44" s="159">
        <f t="shared" si="0"/>
        <v>38.543199999999992</v>
      </c>
      <c r="P44" s="159">
        <f t="shared" si="0"/>
        <v>54.274500000000003</v>
      </c>
      <c r="Q44" s="159">
        <f>+Q39+Q34+Q29+Q24+Q19+Q14</f>
        <v>600.91070000000025</v>
      </c>
    </row>
    <row r="45" spans="2:19" ht="21.75" customHeight="1" thickBot="1">
      <c r="B45" s="4"/>
      <c r="C45" s="161"/>
      <c r="D45" s="162"/>
      <c r="E45" s="161"/>
      <c r="F45" s="161"/>
      <c r="G45" s="161"/>
      <c r="H45" s="161"/>
      <c r="I45" s="161"/>
      <c r="J45" s="161"/>
      <c r="K45" s="163"/>
      <c r="L45" s="161"/>
      <c r="M45" s="161"/>
      <c r="N45" s="161"/>
      <c r="O45" s="161"/>
      <c r="P45" s="161"/>
      <c r="Q45" s="161"/>
    </row>
    <row r="46" spans="2:19" ht="12" thickTop="1">
      <c r="B46" s="164" t="s">
        <v>82</v>
      </c>
      <c r="C46" s="165"/>
      <c r="D46" s="166"/>
      <c r="E46" s="165"/>
      <c r="F46" s="167">
        <v>1.0881000000000001</v>
      </c>
      <c r="G46" s="119"/>
      <c r="H46" s="119"/>
      <c r="I46" s="119"/>
      <c r="J46" s="119"/>
      <c r="K46" s="154"/>
      <c r="L46" s="119"/>
      <c r="M46" s="119"/>
      <c r="N46" s="119"/>
      <c r="O46" s="119"/>
      <c r="P46" s="119"/>
      <c r="Q46" s="119"/>
    </row>
    <row r="47" spans="2:19" ht="12" thickBot="1">
      <c r="B47" s="168" t="s">
        <v>83</v>
      </c>
      <c r="C47" s="169"/>
      <c r="D47" s="170"/>
      <c r="E47" s="169"/>
      <c r="F47" s="171">
        <v>1.06732</v>
      </c>
      <c r="G47" s="119"/>
      <c r="H47" s="119"/>
      <c r="I47" s="119"/>
      <c r="J47" s="119"/>
      <c r="K47" s="154"/>
      <c r="L47" s="119"/>
      <c r="M47" s="119"/>
      <c r="N47" s="119"/>
      <c r="O47" s="119"/>
      <c r="P47" s="119"/>
      <c r="Q47" s="119"/>
    </row>
    <row r="48" spans="2:19" ht="20.25" customHeight="1" thickTop="1">
      <c r="B48" s="172" t="s">
        <v>84</v>
      </c>
      <c r="C48" s="173"/>
      <c r="D48" s="174"/>
      <c r="E48" s="173"/>
    </row>
    <row r="49" spans="2:17" s="108" customFormat="1" ht="18" customHeight="1" thickBot="1">
      <c r="B49" s="172" t="s">
        <v>85</v>
      </c>
      <c r="C49" s="175"/>
      <c r="D49" s="176"/>
      <c r="E49" s="175"/>
      <c r="F49" s="123"/>
      <c r="G49" s="123"/>
      <c r="H49" s="123"/>
      <c r="I49" s="123"/>
      <c r="J49" s="123"/>
      <c r="K49" s="177"/>
      <c r="L49" s="123"/>
      <c r="M49" s="123"/>
      <c r="N49" s="123"/>
      <c r="O49" s="123"/>
      <c r="P49" s="123"/>
      <c r="Q49" s="123"/>
    </row>
    <row r="50" spans="2:17">
      <c r="B50" s="126" t="s">
        <v>69</v>
      </c>
      <c r="C50" s="127"/>
      <c r="E50" s="127" t="s">
        <v>60</v>
      </c>
      <c r="F50" s="127" t="s">
        <v>59</v>
      </c>
      <c r="G50" s="127" t="s">
        <v>58</v>
      </c>
      <c r="H50" s="127" t="s">
        <v>57</v>
      </c>
      <c r="I50" s="127" t="s">
        <v>56</v>
      </c>
      <c r="J50" s="127" t="s">
        <v>55</v>
      </c>
      <c r="K50" s="157" t="s">
        <v>54</v>
      </c>
      <c r="L50" s="127" t="s">
        <v>53</v>
      </c>
      <c r="M50" s="127" t="s">
        <v>70</v>
      </c>
      <c r="N50" s="127" t="s">
        <v>63</v>
      </c>
      <c r="O50" s="127" t="s">
        <v>64</v>
      </c>
      <c r="P50" s="127" t="s">
        <v>65</v>
      </c>
      <c r="Q50" s="127" t="s">
        <v>52</v>
      </c>
    </row>
    <row r="51" spans="2:17">
      <c r="B51" s="131" t="s">
        <v>71</v>
      </c>
      <c r="C51" s="132"/>
      <c r="D51" s="120"/>
      <c r="E51" s="132"/>
      <c r="F51" s="132"/>
      <c r="G51" s="132"/>
      <c r="H51" s="132"/>
      <c r="I51" s="132"/>
      <c r="J51" s="132"/>
      <c r="K51" s="178"/>
      <c r="L51" s="132"/>
      <c r="M51" s="132"/>
      <c r="N51" s="132"/>
      <c r="O51" s="132"/>
      <c r="P51" s="132"/>
      <c r="Q51" s="132"/>
    </row>
    <row r="52" spans="2:17" s="2" customFormat="1">
      <c r="B52" s="137" t="s">
        <v>72</v>
      </c>
      <c r="C52" s="138"/>
      <c r="D52" s="139"/>
      <c r="E52" s="138">
        <f>+E12*$F$46</f>
        <v>16.756740000000001</v>
      </c>
      <c r="F52" s="138">
        <f t="shared" ref="F52:P52" si="1">+F12*$F$46</f>
        <v>24.416964000000004</v>
      </c>
      <c r="G52" s="138">
        <f t="shared" si="1"/>
        <v>33.992243999999936</v>
      </c>
      <c r="H52" s="138">
        <f t="shared" si="1"/>
        <v>24.656346000000003</v>
      </c>
      <c r="I52" s="138">
        <f t="shared" si="1"/>
        <v>18.193031999999999</v>
      </c>
      <c r="J52" s="138">
        <f t="shared" si="1"/>
        <v>18.671796000000001</v>
      </c>
      <c r="K52" s="150">
        <f t="shared" si="1"/>
        <v>14.362920000000001</v>
      </c>
      <c r="L52" s="138">
        <f t="shared" si="1"/>
        <v>19.150560000000002</v>
      </c>
      <c r="M52" s="138">
        <f t="shared" si="1"/>
        <v>24.895728000000002</v>
      </c>
      <c r="N52" s="138">
        <f t="shared" si="1"/>
        <v>32.795334000000004</v>
      </c>
      <c r="O52" s="138">
        <f t="shared" si="1"/>
        <v>18.911178</v>
      </c>
      <c r="P52" s="138">
        <f t="shared" si="1"/>
        <v>24.177582000000001</v>
      </c>
      <c r="Q52" s="142">
        <f>SUM(E52:P52)</f>
        <v>270.98042399999997</v>
      </c>
    </row>
    <row r="53" spans="2:17">
      <c r="B53" s="143" t="s">
        <v>73</v>
      </c>
      <c r="C53" s="144"/>
      <c r="D53" s="120"/>
      <c r="E53" s="138">
        <f>+E13*$F$47</f>
        <v>0.11072377680000001</v>
      </c>
      <c r="F53" s="138">
        <f t="shared" ref="F53:P53" si="2">+F13*$F$47</f>
        <v>0.16134036048</v>
      </c>
      <c r="G53" s="138">
        <f t="shared" si="2"/>
        <v>0.22461109007999999</v>
      </c>
      <c r="H53" s="138">
        <f t="shared" si="2"/>
        <v>0.16009799999999999</v>
      </c>
      <c r="I53" s="138">
        <f t="shared" si="2"/>
        <v>0.1174052</v>
      </c>
      <c r="J53" s="138">
        <f>+J13*$F$47</f>
        <v>0.12295099472000001</v>
      </c>
      <c r="K53" s="138">
        <f>+K13*$F$47</f>
        <v>9.4906094400000002E-2</v>
      </c>
      <c r="L53" s="138">
        <f>+L13*$F$47</f>
        <v>0.12654145920000001</v>
      </c>
      <c r="M53" s="138">
        <f t="shared" si="2"/>
        <v>0.16450389696000001</v>
      </c>
      <c r="N53" s="138">
        <f t="shared" si="2"/>
        <v>0.21670224888</v>
      </c>
      <c r="O53" s="138">
        <f t="shared" si="2"/>
        <v>0.12495969096000001</v>
      </c>
      <c r="P53" s="138">
        <f t="shared" si="2"/>
        <v>0.15975859224000002</v>
      </c>
      <c r="Q53" s="142">
        <f>SUM(E53:P53)</f>
        <v>1.7845014047199996</v>
      </c>
    </row>
    <row r="54" spans="2:17">
      <c r="B54" s="143" t="s">
        <v>74</v>
      </c>
      <c r="C54" s="144"/>
      <c r="D54" s="120"/>
      <c r="E54" s="138">
        <f>+E14*$F$46</f>
        <v>34.275150000000004</v>
      </c>
      <c r="F54" s="138">
        <f t="shared" ref="F54:P54" si="3">+F14*$F$46</f>
        <v>49.94379</v>
      </c>
      <c r="G54" s="138">
        <f t="shared" si="3"/>
        <v>69.529590000000184</v>
      </c>
      <c r="H54" s="138">
        <f t="shared" si="3"/>
        <v>50.433435000000003</v>
      </c>
      <c r="I54" s="138">
        <f t="shared" si="3"/>
        <v>37.213020000000007</v>
      </c>
      <c r="J54" s="138">
        <f t="shared" si="3"/>
        <v>38.192310000000006</v>
      </c>
      <c r="K54" s="150">
        <f>+K14*$F$46</f>
        <v>29.378700000000002</v>
      </c>
      <c r="L54" s="138">
        <f t="shared" si="3"/>
        <v>39.171600000000005</v>
      </c>
      <c r="M54" s="138">
        <f t="shared" si="3"/>
        <v>50.923079999999999</v>
      </c>
      <c r="N54" s="138">
        <f t="shared" si="3"/>
        <v>67.081365000000005</v>
      </c>
      <c r="O54" s="138">
        <f t="shared" si="3"/>
        <v>38.681955000000002</v>
      </c>
      <c r="P54" s="138">
        <f t="shared" si="3"/>
        <v>49.454145000000004</v>
      </c>
      <c r="Q54" s="142">
        <f>SUM(E54:P54)</f>
        <v>554.27814000000023</v>
      </c>
    </row>
    <row r="55" spans="2:17">
      <c r="B55" s="145"/>
      <c r="C55" s="146"/>
      <c r="D55" s="120"/>
      <c r="E55" s="146"/>
      <c r="F55" s="146"/>
      <c r="G55" s="146"/>
      <c r="H55" s="146"/>
      <c r="I55" s="146"/>
      <c r="J55" s="146"/>
      <c r="K55" s="179"/>
      <c r="L55" s="146"/>
      <c r="M55" s="146"/>
      <c r="N55" s="146"/>
      <c r="O55" s="146"/>
      <c r="P55" s="146"/>
      <c r="Q55" s="146"/>
    </row>
    <row r="56" spans="2:17">
      <c r="B56" s="148" t="s">
        <v>75</v>
      </c>
      <c r="C56" s="149"/>
      <c r="D56" s="120"/>
      <c r="E56" s="149"/>
      <c r="F56" s="149"/>
      <c r="G56" s="149"/>
      <c r="H56" s="149"/>
      <c r="I56" s="149"/>
      <c r="J56" s="149"/>
      <c r="K56" s="180"/>
      <c r="L56" s="149"/>
      <c r="M56" s="149"/>
      <c r="N56" s="149"/>
      <c r="O56" s="149"/>
      <c r="P56" s="149"/>
      <c r="Q56" s="149"/>
    </row>
    <row r="57" spans="2:17" s="2" customFormat="1">
      <c r="B57" s="137" t="s">
        <v>76</v>
      </c>
      <c r="C57" s="138"/>
      <c r="D57" s="139"/>
      <c r="E57" s="138">
        <f>+E17*$F$46</f>
        <v>0</v>
      </c>
      <c r="F57" s="138">
        <f t="shared" ref="F57:P57" si="4">+F17*$F$46</f>
        <v>0</v>
      </c>
      <c r="G57" s="138">
        <f t="shared" si="4"/>
        <v>0</v>
      </c>
      <c r="H57" s="138">
        <f>+H17*$F$46</f>
        <v>5.0270220000000005</v>
      </c>
      <c r="I57" s="138">
        <f t="shared" si="4"/>
        <v>9.3358980000000003</v>
      </c>
      <c r="J57" s="138">
        <f t="shared" si="4"/>
        <v>2.6332020000000003</v>
      </c>
      <c r="K57" s="150">
        <f t="shared" si="4"/>
        <v>3.3513480000000002</v>
      </c>
      <c r="L57" s="138">
        <f t="shared" si="4"/>
        <v>2.3938200000000003</v>
      </c>
      <c r="M57" s="138">
        <f t="shared" si="4"/>
        <v>0.23938200000000001</v>
      </c>
      <c r="N57" s="138">
        <f t="shared" si="4"/>
        <v>0.71814600000000006</v>
      </c>
      <c r="O57" s="138">
        <f t="shared" si="4"/>
        <v>0.95752800000000005</v>
      </c>
      <c r="P57" s="138">
        <f t="shared" si="4"/>
        <v>2.3938200000000003</v>
      </c>
      <c r="Q57" s="142">
        <f>SUM(E57:P57)</f>
        <v>27.050166000000004</v>
      </c>
    </row>
    <row r="58" spans="2:17">
      <c r="B58" s="143" t="s">
        <v>62</v>
      </c>
      <c r="C58" s="144"/>
      <c r="D58" s="120"/>
      <c r="E58" s="138">
        <f>+E18*$F$47</f>
        <v>0</v>
      </c>
      <c r="F58" s="138">
        <f t="shared" ref="F58:P58" si="5">+F18*$F$47</f>
        <v>0</v>
      </c>
      <c r="G58" s="138">
        <f t="shared" si="5"/>
        <v>0</v>
      </c>
      <c r="H58" s="138">
        <f t="shared" si="5"/>
        <v>3.2019600000000002E-2</v>
      </c>
      <c r="I58" s="138">
        <f t="shared" si="5"/>
        <v>6.4039200000000004E-2</v>
      </c>
      <c r="J58" s="138">
        <f t="shared" si="5"/>
        <v>1.7399450640000001E-2</v>
      </c>
      <c r="K58" s="150">
        <f t="shared" si="5"/>
        <v>2.2144755360000001E-2</v>
      </c>
      <c r="L58" s="138">
        <f t="shared" si="5"/>
        <v>1.5817682400000001E-2</v>
      </c>
      <c r="M58" s="138">
        <f t="shared" si="5"/>
        <v>1.58176824E-3</v>
      </c>
      <c r="N58" s="138">
        <f t="shared" si="5"/>
        <v>4.7453047200000003E-3</v>
      </c>
      <c r="O58" s="138">
        <f t="shared" si="5"/>
        <v>6.3270729600000001E-3</v>
      </c>
      <c r="P58" s="138">
        <f t="shared" si="5"/>
        <v>1.5817682400000001E-2</v>
      </c>
      <c r="Q58" s="142">
        <f>SUM(E58:P58)</f>
        <v>0.17989251672000003</v>
      </c>
    </row>
    <row r="59" spans="2:17">
      <c r="B59" s="143" t="s">
        <v>77</v>
      </c>
      <c r="C59" s="144"/>
      <c r="D59" s="120"/>
      <c r="E59" s="138">
        <f>+E19*$F$46</f>
        <v>0</v>
      </c>
      <c r="F59" s="138">
        <f t="shared" ref="F59:P59" si="6">+F19*$F$46</f>
        <v>0</v>
      </c>
      <c r="G59" s="138">
        <f t="shared" si="6"/>
        <v>0</v>
      </c>
      <c r="H59" s="138">
        <f t="shared" si="6"/>
        <v>10.282545000000001</v>
      </c>
      <c r="I59" s="138">
        <f t="shared" si="6"/>
        <v>19.096155000000003</v>
      </c>
      <c r="J59" s="138">
        <f t="shared" si="6"/>
        <v>2.8652937300000003</v>
      </c>
      <c r="K59" s="150">
        <f t="shared" si="6"/>
        <v>6.8550300000000002</v>
      </c>
      <c r="L59" s="138">
        <f t="shared" si="6"/>
        <v>4.8964500000000006</v>
      </c>
      <c r="M59" s="138">
        <f t="shared" si="6"/>
        <v>0.48964500000000005</v>
      </c>
      <c r="N59" s="138">
        <f t="shared" si="6"/>
        <v>1.4689350000000001</v>
      </c>
      <c r="O59" s="138">
        <f t="shared" si="6"/>
        <v>1.9585800000000002</v>
      </c>
      <c r="P59" s="138">
        <f t="shared" si="6"/>
        <v>4.8964500000000006</v>
      </c>
      <c r="Q59" s="142">
        <f>SUM(E59:P59)</f>
        <v>52.809083730000005</v>
      </c>
    </row>
    <row r="60" spans="2:17">
      <c r="B60" s="145"/>
      <c r="C60" s="146"/>
      <c r="D60" s="120"/>
      <c r="E60" s="146"/>
      <c r="F60" s="146"/>
      <c r="G60" s="146"/>
      <c r="H60" s="146"/>
      <c r="I60" s="146"/>
      <c r="J60" s="146"/>
      <c r="K60" s="179"/>
      <c r="L60" s="146"/>
      <c r="M60" s="146"/>
      <c r="N60" s="146"/>
      <c r="O60" s="146"/>
      <c r="P60" s="146"/>
      <c r="Q60" s="146"/>
    </row>
    <row r="61" spans="2:17">
      <c r="B61" s="148" t="s">
        <v>78</v>
      </c>
      <c r="C61" s="149"/>
      <c r="D61" s="120"/>
      <c r="E61" s="151"/>
      <c r="F61" s="151"/>
      <c r="G61" s="151"/>
      <c r="H61" s="151"/>
      <c r="I61" s="151"/>
      <c r="J61" s="151"/>
      <c r="K61" s="212"/>
      <c r="L61" s="151"/>
      <c r="M61" s="151"/>
      <c r="N61" s="151"/>
      <c r="O61" s="151"/>
      <c r="P61" s="151"/>
      <c r="Q61" s="151"/>
    </row>
    <row r="62" spans="2:17" s="2" customFormat="1">
      <c r="B62" s="137" t="s">
        <v>76</v>
      </c>
      <c r="C62" s="138"/>
      <c r="D62" s="139"/>
      <c r="E62" s="138">
        <f>+E22*$F$46</f>
        <v>101.73735000000001</v>
      </c>
      <c r="F62" s="138">
        <f t="shared" ref="F62:P62" si="7">+F22*$F$46</f>
        <v>175.21891920000004</v>
      </c>
      <c r="G62" s="138">
        <f t="shared" si="7"/>
        <v>54.412072649999999</v>
      </c>
      <c r="H62" s="138">
        <f t="shared" si="7"/>
        <v>25.744446000000003</v>
      </c>
      <c r="I62" s="138">
        <f t="shared" si="7"/>
        <v>8.0084160000000004</v>
      </c>
      <c r="J62" s="138">
        <f t="shared" si="7"/>
        <v>16.738895160000002</v>
      </c>
      <c r="K62" s="150">
        <f t="shared" si="7"/>
        <v>72.207512909999991</v>
      </c>
      <c r="L62" s="138">
        <f t="shared" si="7"/>
        <v>116.54116812000001</v>
      </c>
      <c r="M62" s="138">
        <f t="shared" si="7"/>
        <v>18.811290420000002</v>
      </c>
      <c r="N62" s="138">
        <f t="shared" si="7"/>
        <v>32.435499329999999</v>
      </c>
      <c r="O62" s="138">
        <f t="shared" si="7"/>
        <v>19.884701070000002</v>
      </c>
      <c r="P62" s="138">
        <f t="shared" si="7"/>
        <v>113.35836681000001</v>
      </c>
      <c r="Q62" s="142">
        <f>SUM(E62:P62)</f>
        <v>755.09863767000002</v>
      </c>
    </row>
    <row r="63" spans="2:17">
      <c r="B63" s="143" t="s">
        <v>62</v>
      </c>
      <c r="C63" s="144"/>
      <c r="D63" s="120"/>
      <c r="E63" s="138">
        <f>+E23*$F$47</f>
        <v>0.34027655847999999</v>
      </c>
      <c r="F63" s="138">
        <f t="shared" ref="F63:P63" si="8">+F23*$F$47</f>
        <v>0.54319807316040003</v>
      </c>
      <c r="G63" s="138">
        <f t="shared" si="8"/>
        <v>0.1686805762768</v>
      </c>
      <c r="H63" s="138">
        <f t="shared" si="8"/>
        <v>7.4712400000000012E-2</v>
      </c>
      <c r="I63" s="138">
        <f t="shared" si="8"/>
        <v>2.1346400000000001E-2</v>
      </c>
      <c r="J63" s="138">
        <f t="shared" si="8"/>
        <v>5.1890963760000006E-2</v>
      </c>
      <c r="K63" s="150">
        <f t="shared" si="8"/>
        <v>0.22384582164</v>
      </c>
      <c r="L63" s="138">
        <f t="shared" si="8"/>
        <v>0.36128355072000001</v>
      </c>
      <c r="M63" s="138">
        <f t="shared" si="8"/>
        <v>5.8316230160000003E-2</v>
      </c>
      <c r="N63" s="138">
        <f t="shared" si="8"/>
        <v>0.10055138469039999</v>
      </c>
      <c r="O63" s="138">
        <f t="shared" si="8"/>
        <v>6.1643333430000002E-2</v>
      </c>
      <c r="P63" s="138">
        <f t="shared" si="8"/>
        <v>0.35141597452920004</v>
      </c>
      <c r="Q63" s="142">
        <f>SUM(E63:P63)</f>
        <v>2.3571612668468003</v>
      </c>
    </row>
    <row r="64" spans="2:17">
      <c r="B64" s="143" t="s">
        <v>77</v>
      </c>
      <c r="C64" s="144"/>
      <c r="D64" s="120"/>
      <c r="E64" s="138">
        <f>+E24*$F$46</f>
        <v>3.0357990000000004</v>
      </c>
      <c r="F64" s="138">
        <f t="shared" ref="F64:P64" si="9">+F24*$F$46</f>
        <v>5.2038382500000004</v>
      </c>
      <c r="G64" s="138">
        <f t="shared" si="9"/>
        <v>1.6164813599999999</v>
      </c>
      <c r="H64" s="138">
        <f t="shared" si="9"/>
        <v>0.76166999999999996</v>
      </c>
      <c r="I64" s="138">
        <f t="shared" si="9"/>
        <v>0.23938200000000001</v>
      </c>
      <c r="J64" s="138">
        <f t="shared" si="9"/>
        <v>0.49715289000000001</v>
      </c>
      <c r="K64" s="150">
        <f t="shared" si="9"/>
        <v>2.1448627200000003</v>
      </c>
      <c r="L64" s="138">
        <f t="shared" si="9"/>
        <v>3.4620077700000005</v>
      </c>
      <c r="M64" s="138">
        <f t="shared" si="9"/>
        <v>0.55873934999999997</v>
      </c>
      <c r="N64" s="138">
        <f t="shared" si="9"/>
        <v>0.96351255000000002</v>
      </c>
      <c r="O64" s="138">
        <f t="shared" si="9"/>
        <v>0.59062068000000001</v>
      </c>
      <c r="P64" s="138">
        <f t="shared" si="9"/>
        <v>3.36723426</v>
      </c>
      <c r="Q64" s="142">
        <f>SUM(E64:P64)</f>
        <v>22.441300830000007</v>
      </c>
    </row>
    <row r="65" spans="2:17">
      <c r="B65" s="145"/>
      <c r="C65" s="146"/>
      <c r="D65" s="120"/>
      <c r="E65" s="146"/>
      <c r="F65" s="146"/>
      <c r="G65" s="146"/>
      <c r="H65" s="146"/>
      <c r="I65" s="146"/>
      <c r="J65" s="146"/>
      <c r="K65" s="179"/>
      <c r="L65" s="146"/>
      <c r="M65" s="146"/>
      <c r="N65" s="146"/>
      <c r="O65" s="146"/>
      <c r="P65" s="146"/>
      <c r="Q65" s="146"/>
    </row>
    <row r="66" spans="2:17">
      <c r="B66" s="148" t="s">
        <v>79</v>
      </c>
      <c r="C66" s="149"/>
      <c r="D66" s="120"/>
      <c r="E66" s="149"/>
      <c r="F66" s="149"/>
      <c r="G66" s="149"/>
      <c r="H66" s="149"/>
      <c r="I66" s="149"/>
      <c r="J66" s="149"/>
      <c r="K66" s="180"/>
      <c r="L66" s="149"/>
      <c r="M66" s="149"/>
      <c r="N66" s="149"/>
      <c r="O66" s="149"/>
      <c r="P66" s="149"/>
      <c r="Q66" s="149"/>
    </row>
    <row r="67" spans="2:17" s="2" customFormat="1">
      <c r="B67" s="137" t="s">
        <v>76</v>
      </c>
      <c r="C67" s="138"/>
      <c r="D67" s="139"/>
      <c r="E67" s="138">
        <f>+E27*$F$46</f>
        <v>1.0445759999999999</v>
      </c>
      <c r="F67" s="138">
        <f t="shared" ref="F67:P67" si="10">+F27*$F$46</f>
        <v>22.67143398</v>
      </c>
      <c r="G67" s="138">
        <f t="shared" si="10"/>
        <v>16.768828791000001</v>
      </c>
      <c r="H67" s="138">
        <f t="shared" si="10"/>
        <v>0</v>
      </c>
      <c r="I67" s="138">
        <f t="shared" si="10"/>
        <v>0</v>
      </c>
      <c r="J67" s="138">
        <f t="shared" si="10"/>
        <v>0</v>
      </c>
      <c r="K67" s="150">
        <f t="shared" si="10"/>
        <v>0</v>
      </c>
      <c r="L67" s="138">
        <f t="shared" si="10"/>
        <v>0</v>
      </c>
      <c r="M67" s="138">
        <f t="shared" si="10"/>
        <v>0</v>
      </c>
      <c r="N67" s="138">
        <f t="shared" si="10"/>
        <v>9.748723140000001</v>
      </c>
      <c r="O67" s="138">
        <f t="shared" si="10"/>
        <v>0</v>
      </c>
      <c r="P67" s="138">
        <f t="shared" si="10"/>
        <v>0</v>
      </c>
      <c r="Q67" s="142">
        <f>SUM(E67:P67)</f>
        <v>50.233561911000002</v>
      </c>
    </row>
    <row r="68" spans="2:17">
      <c r="B68" s="143" t="s">
        <v>62</v>
      </c>
      <c r="C68" s="144"/>
      <c r="D68" s="120"/>
      <c r="E68" s="138">
        <f>+E28*$F$47</f>
        <v>3.74522588E-3</v>
      </c>
      <c r="F68" s="138">
        <f t="shared" ref="F68:P68" si="11">+F28*$F$47</f>
        <v>8.1295995423832007E-2</v>
      </c>
      <c r="G68" s="138">
        <f t="shared" si="11"/>
        <v>6.0130001961864001E-2</v>
      </c>
      <c r="H68" s="138">
        <f t="shared" si="11"/>
        <v>0</v>
      </c>
      <c r="I68" s="138">
        <f t="shared" si="11"/>
        <v>0</v>
      </c>
      <c r="J68" s="138">
        <f t="shared" si="11"/>
        <v>0</v>
      </c>
      <c r="K68" s="150">
        <f t="shared" si="11"/>
        <v>0</v>
      </c>
      <c r="L68" s="138">
        <f t="shared" si="11"/>
        <v>0</v>
      </c>
      <c r="M68" s="138">
        <f t="shared" si="11"/>
        <v>0</v>
      </c>
      <c r="N68" s="138">
        <f t="shared" si="11"/>
        <v>3.4957277692840003E-2</v>
      </c>
      <c r="O68" s="138">
        <f t="shared" si="11"/>
        <v>0</v>
      </c>
      <c r="P68" s="138">
        <f t="shared" si="11"/>
        <v>0</v>
      </c>
      <c r="Q68" s="142">
        <f>SUM(E68:P68)</f>
        <v>0.180128500958536</v>
      </c>
    </row>
    <row r="69" spans="2:17">
      <c r="B69" s="143" t="s">
        <v>77</v>
      </c>
      <c r="C69" s="144"/>
      <c r="D69" s="120"/>
      <c r="E69" s="138">
        <f>+E29*$F$46</f>
        <v>7.6167000000000012E-2</v>
      </c>
      <c r="F69" s="138">
        <f t="shared" ref="F69:P69" si="12">+F29*$F$46</f>
        <v>1.6114761</v>
      </c>
      <c r="G69" s="138">
        <f t="shared" si="12"/>
        <v>1.19190474</v>
      </c>
      <c r="H69" s="138">
        <f t="shared" si="12"/>
        <v>0</v>
      </c>
      <c r="I69" s="138">
        <f t="shared" si="12"/>
        <v>0</v>
      </c>
      <c r="J69" s="138">
        <f t="shared" si="12"/>
        <v>0</v>
      </c>
      <c r="K69" s="150">
        <f t="shared" si="12"/>
        <v>0</v>
      </c>
      <c r="L69" s="138">
        <f t="shared" si="12"/>
        <v>0</v>
      </c>
      <c r="M69" s="138">
        <f t="shared" si="12"/>
        <v>0</v>
      </c>
      <c r="N69" s="138">
        <f t="shared" si="12"/>
        <v>0.69290208000000009</v>
      </c>
      <c r="O69" s="138">
        <f t="shared" si="12"/>
        <v>0</v>
      </c>
      <c r="P69" s="138">
        <f t="shared" si="12"/>
        <v>0</v>
      </c>
      <c r="Q69" s="142">
        <f>SUM(E69:P69)</f>
        <v>3.5724499199999999</v>
      </c>
    </row>
    <row r="70" spans="2:17">
      <c r="B70" s="145"/>
      <c r="C70" s="146"/>
      <c r="D70" s="120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</row>
    <row r="71" spans="2:17">
      <c r="B71" s="148" t="s">
        <v>80</v>
      </c>
      <c r="C71" s="149"/>
      <c r="D71" s="120"/>
      <c r="E71" s="149"/>
      <c r="F71" s="149"/>
      <c r="G71" s="149"/>
      <c r="H71" s="149"/>
      <c r="I71" s="149"/>
      <c r="J71" s="149"/>
      <c r="K71" s="150"/>
      <c r="L71" s="149"/>
      <c r="M71" s="149"/>
      <c r="N71" s="149"/>
      <c r="O71" s="149"/>
      <c r="P71" s="149"/>
      <c r="Q71" s="149"/>
    </row>
    <row r="72" spans="2:17" s="2" customFormat="1">
      <c r="B72" s="137" t="s">
        <v>76</v>
      </c>
      <c r="C72" s="138"/>
      <c r="D72" s="139"/>
      <c r="E72" s="138">
        <f>+E32*$F$46</f>
        <v>67.549248000000006</v>
      </c>
      <c r="F72" s="138">
        <f t="shared" ref="F72:P72" si="13">+F32*$F$46</f>
        <v>81.553095000000013</v>
      </c>
      <c r="G72" s="138">
        <f t="shared" si="13"/>
        <v>141.78682907999999</v>
      </c>
      <c r="H72" s="138">
        <f t="shared" si="13"/>
        <v>124.815951</v>
      </c>
      <c r="I72" s="138">
        <f t="shared" si="13"/>
        <v>30.771468000000002</v>
      </c>
      <c r="J72" s="138">
        <f t="shared" si="13"/>
        <v>15.755688000000001</v>
      </c>
      <c r="K72" s="150">
        <f t="shared" si="13"/>
        <v>0</v>
      </c>
      <c r="L72" s="138">
        <f t="shared" si="13"/>
        <v>29.006678610000002</v>
      </c>
      <c r="M72" s="138">
        <f t="shared" si="13"/>
        <v>50.186762730000005</v>
      </c>
      <c r="N72" s="138">
        <f t="shared" si="13"/>
        <v>88.329672990000006</v>
      </c>
      <c r="O72" s="138">
        <f t="shared" si="13"/>
        <v>23.82732261</v>
      </c>
      <c r="P72" s="138">
        <f t="shared" si="13"/>
        <v>45.057676950000001</v>
      </c>
      <c r="Q72" s="142">
        <f>SUM(E72:P72)</f>
        <v>698.64039297000011</v>
      </c>
    </row>
    <row r="73" spans="2:17">
      <c r="B73" s="143" t="s">
        <v>62</v>
      </c>
      <c r="C73" s="144"/>
      <c r="D73" s="120"/>
      <c r="E73" s="138">
        <f>+E33*$F$47</f>
        <v>0.20532781963999999</v>
      </c>
      <c r="F73" s="138">
        <f t="shared" ref="F73:P73" si="14">+F33*$F$47</f>
        <v>0.25281929036</v>
      </c>
      <c r="G73" s="138">
        <f t="shared" si="14"/>
        <v>0.43954500318400003</v>
      </c>
      <c r="H73" s="138">
        <f t="shared" si="14"/>
        <v>0.3842352</v>
      </c>
      <c r="I73" s="138">
        <f t="shared" si="14"/>
        <v>9.60588E-2</v>
      </c>
      <c r="J73" s="138">
        <f t="shared" si="14"/>
        <v>4.8843765159999997E-2</v>
      </c>
      <c r="K73" s="150">
        <f t="shared" si="14"/>
        <v>0</v>
      </c>
      <c r="L73" s="138">
        <f t="shared" si="14"/>
        <v>8.9921710000000016E-2</v>
      </c>
      <c r="M73" s="138">
        <f t="shared" si="14"/>
        <v>0.15558110176000001</v>
      </c>
      <c r="N73" s="138">
        <f t="shared" si="14"/>
        <v>0.27382557816879999</v>
      </c>
      <c r="O73" s="138">
        <f t="shared" si="14"/>
        <v>7.3865534946000011E-2</v>
      </c>
      <c r="P73" s="138">
        <f t="shared" si="14"/>
        <v>0.1396808835044</v>
      </c>
      <c r="Q73" s="142">
        <f>SUM(E73:P73)</f>
        <v>2.1597046867232002</v>
      </c>
    </row>
    <row r="74" spans="2:17">
      <c r="B74" s="143" t="s">
        <v>77</v>
      </c>
      <c r="C74" s="144"/>
      <c r="D74" s="120"/>
      <c r="E74" s="138">
        <f>+E34*$F$46</f>
        <v>2.0021040000000001</v>
      </c>
      <c r="F74" s="138">
        <f t="shared" ref="F74:P74" si="15">+F34*$F$46</f>
        <v>2.4220017899999999</v>
      </c>
      <c r="G74" s="138">
        <f t="shared" si="15"/>
        <v>4.2115998600000006</v>
      </c>
      <c r="H74" s="138">
        <f t="shared" si="15"/>
        <v>3.7104210000000002</v>
      </c>
      <c r="I74" s="138">
        <f t="shared" si="15"/>
        <v>0.91400400000000004</v>
      </c>
      <c r="J74" s="138">
        <f t="shared" si="15"/>
        <v>0.46799181000000001</v>
      </c>
      <c r="K74" s="150">
        <f t="shared" si="15"/>
        <v>0</v>
      </c>
      <c r="L74" s="138">
        <f t="shared" si="15"/>
        <v>0.86155758000000005</v>
      </c>
      <c r="M74" s="138">
        <f t="shared" si="15"/>
        <v>1.4906970000000002</v>
      </c>
      <c r="N74" s="138">
        <f t="shared" si="15"/>
        <v>2.6236267200000003</v>
      </c>
      <c r="O74" s="138">
        <f t="shared" si="15"/>
        <v>0.70770023999999998</v>
      </c>
      <c r="P74" s="138">
        <f t="shared" si="15"/>
        <v>1.33825419</v>
      </c>
      <c r="Q74" s="142">
        <f>SUM(E74:P74)</f>
        <v>20.749958190000005</v>
      </c>
    </row>
    <row r="75" spans="2:17">
      <c r="B75" s="145"/>
      <c r="C75" s="146"/>
      <c r="D75" s="120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</row>
    <row r="76" spans="2:17" s="2" customFormat="1">
      <c r="B76" s="148" t="s">
        <v>81</v>
      </c>
      <c r="C76" s="151"/>
      <c r="D76" s="139"/>
      <c r="E76" s="151"/>
      <c r="F76" s="151"/>
      <c r="G76" s="151"/>
      <c r="H76" s="151"/>
      <c r="I76" s="151"/>
      <c r="J76" s="151"/>
      <c r="K76" s="150"/>
      <c r="L76" s="151"/>
      <c r="M76" s="151"/>
      <c r="N76" s="151"/>
      <c r="O76" s="151"/>
      <c r="P76" s="151"/>
      <c r="Q76" s="151"/>
    </row>
    <row r="77" spans="2:17" s="2" customFormat="1" ht="10.5" customHeight="1">
      <c r="B77" s="137" t="s">
        <v>76</v>
      </c>
      <c r="C77" s="138"/>
      <c r="D77" s="139"/>
      <c r="E77" s="208">
        <f>+E37*$F$46</f>
        <v>0</v>
      </c>
      <c r="F77" s="208">
        <f t="shared" ref="F77:P77" si="16">+F37*$F$46</f>
        <v>0</v>
      </c>
      <c r="G77" s="208">
        <f t="shared" si="16"/>
        <v>0</v>
      </c>
      <c r="H77" s="208">
        <f t="shared" si="16"/>
        <v>0</v>
      </c>
      <c r="I77" s="208">
        <f t="shared" si="16"/>
        <v>0</v>
      </c>
      <c r="J77" s="208">
        <f t="shared" si="16"/>
        <v>0</v>
      </c>
      <c r="K77" s="210">
        <f t="shared" si="16"/>
        <v>0</v>
      </c>
      <c r="L77" s="208">
        <f t="shared" si="16"/>
        <v>0</v>
      </c>
      <c r="M77" s="208">
        <f t="shared" si="16"/>
        <v>0</v>
      </c>
      <c r="N77" s="208">
        <f t="shared" si="16"/>
        <v>0</v>
      </c>
      <c r="O77" s="208">
        <f t="shared" si="16"/>
        <v>0</v>
      </c>
      <c r="P77" s="208">
        <f t="shared" si="16"/>
        <v>0</v>
      </c>
      <c r="Q77" s="211">
        <f>SUM(E77:P77)</f>
        <v>0</v>
      </c>
    </row>
    <row r="78" spans="2:17">
      <c r="B78" s="143" t="s">
        <v>62</v>
      </c>
      <c r="C78" s="144"/>
      <c r="D78" s="120"/>
      <c r="E78" s="208">
        <f>+E38*$F$47</f>
        <v>0</v>
      </c>
      <c r="F78" s="208">
        <f t="shared" ref="F78:P78" si="17">+F38*$F$47</f>
        <v>0</v>
      </c>
      <c r="G78" s="208">
        <f t="shared" si="17"/>
        <v>0</v>
      </c>
      <c r="H78" s="208">
        <f t="shared" si="17"/>
        <v>0</v>
      </c>
      <c r="I78" s="208">
        <f t="shared" si="17"/>
        <v>0</v>
      </c>
      <c r="J78" s="208">
        <f t="shared" si="17"/>
        <v>0</v>
      </c>
      <c r="K78" s="210">
        <f t="shared" si="17"/>
        <v>0</v>
      </c>
      <c r="L78" s="208">
        <f t="shared" si="17"/>
        <v>0</v>
      </c>
      <c r="M78" s="208">
        <f t="shared" si="17"/>
        <v>0</v>
      </c>
      <c r="N78" s="208">
        <f t="shared" si="17"/>
        <v>0</v>
      </c>
      <c r="O78" s="208">
        <f t="shared" si="17"/>
        <v>0</v>
      </c>
      <c r="P78" s="208">
        <f t="shared" si="17"/>
        <v>0</v>
      </c>
      <c r="Q78" s="211">
        <f>SUM(E78:P78)</f>
        <v>0</v>
      </c>
    </row>
    <row r="79" spans="2:17" ht="12" thickBot="1">
      <c r="B79" s="152" t="s">
        <v>77</v>
      </c>
      <c r="C79" s="153"/>
      <c r="D79" s="120"/>
      <c r="E79" s="208">
        <f>+E39*$F$46</f>
        <v>0</v>
      </c>
      <c r="F79" s="208">
        <f t="shared" ref="F79:P79" si="18">+F39*$F$46</f>
        <v>0</v>
      </c>
      <c r="G79" s="208">
        <f t="shared" si="18"/>
        <v>0</v>
      </c>
      <c r="H79" s="208">
        <f t="shared" si="18"/>
        <v>0</v>
      </c>
      <c r="I79" s="208">
        <f t="shared" si="18"/>
        <v>0</v>
      </c>
      <c r="J79" s="208">
        <f t="shared" si="18"/>
        <v>0</v>
      </c>
      <c r="K79" s="210">
        <f t="shared" si="18"/>
        <v>0</v>
      </c>
      <c r="L79" s="208">
        <f t="shared" si="18"/>
        <v>0</v>
      </c>
      <c r="M79" s="208">
        <f t="shared" si="18"/>
        <v>0</v>
      </c>
      <c r="N79" s="208">
        <f t="shared" si="18"/>
        <v>0</v>
      </c>
      <c r="O79" s="208">
        <f t="shared" si="18"/>
        <v>0</v>
      </c>
      <c r="P79" s="208">
        <f t="shared" si="18"/>
        <v>0</v>
      </c>
      <c r="Q79" s="215">
        <f>SUM(E79:P79)</f>
        <v>0</v>
      </c>
    </row>
    <row r="80" spans="2:17" ht="12" thickBot="1">
      <c r="C80" s="119"/>
      <c r="D80" s="120"/>
      <c r="E80" s="119"/>
      <c r="F80" s="119"/>
      <c r="G80" s="119"/>
      <c r="H80" s="119"/>
      <c r="I80" s="119"/>
      <c r="J80" s="119"/>
      <c r="K80" s="154"/>
      <c r="L80" s="119"/>
      <c r="M80" s="119"/>
      <c r="N80" s="119"/>
      <c r="O80" s="119"/>
      <c r="P80" s="119"/>
      <c r="Q80" s="119"/>
    </row>
    <row r="81" spans="2:19" ht="12" thickBot="1">
      <c r="B81" s="155" t="s">
        <v>52</v>
      </c>
      <c r="C81" s="156"/>
      <c r="D81" s="120"/>
      <c r="E81" s="127" t="s">
        <v>60</v>
      </c>
      <c r="F81" s="127" t="s">
        <v>59</v>
      </c>
      <c r="G81" s="127" t="s">
        <v>58</v>
      </c>
      <c r="H81" s="127" t="s">
        <v>57</v>
      </c>
      <c r="I81" s="127" t="s">
        <v>56</v>
      </c>
      <c r="J81" s="127" t="s">
        <v>55</v>
      </c>
      <c r="K81" s="157" t="s">
        <v>54</v>
      </c>
      <c r="L81" s="127" t="s">
        <v>53</v>
      </c>
      <c r="M81" s="127" t="s">
        <v>70</v>
      </c>
      <c r="N81" s="127" t="s">
        <v>63</v>
      </c>
      <c r="O81" s="127" t="s">
        <v>64</v>
      </c>
      <c r="P81" s="127" t="s">
        <v>65</v>
      </c>
      <c r="Q81" s="127" t="s">
        <v>52</v>
      </c>
    </row>
    <row r="82" spans="2:19" ht="12" thickBot="1">
      <c r="B82" s="158" t="s">
        <v>76</v>
      </c>
      <c r="C82" s="159"/>
      <c r="D82" s="120"/>
      <c r="E82" s="159">
        <f t="shared" ref="E82:Q84" si="19">+E52+E57+E62+E67+E72+E77</f>
        <v>187.08791400000001</v>
      </c>
      <c r="F82" s="159">
        <f t="shared" si="19"/>
        <v>303.86041218000003</v>
      </c>
      <c r="G82" s="159">
        <f t="shared" si="19"/>
        <v>246.95997452099994</v>
      </c>
      <c r="H82" s="159">
        <f t="shared" si="19"/>
        <v>180.243765</v>
      </c>
      <c r="I82" s="159">
        <f t="shared" si="19"/>
        <v>66.308813999999998</v>
      </c>
      <c r="J82" s="159">
        <f t="shared" si="19"/>
        <v>53.799581160000002</v>
      </c>
      <c r="K82" s="160">
        <f t="shared" si="19"/>
        <v>89.921780909999995</v>
      </c>
      <c r="L82" s="159">
        <f t="shared" si="19"/>
        <v>167.09222672999999</v>
      </c>
      <c r="M82" s="159">
        <f t="shared" si="19"/>
        <v>94.133163150000001</v>
      </c>
      <c r="N82" s="159">
        <f t="shared" si="19"/>
        <v>164.02737546</v>
      </c>
      <c r="O82" s="159">
        <f t="shared" si="19"/>
        <v>63.580729680000005</v>
      </c>
      <c r="P82" s="159">
        <f t="shared" si="19"/>
        <v>184.98744576000001</v>
      </c>
      <c r="Q82" s="159">
        <f t="shared" si="19"/>
        <v>1802.003182551</v>
      </c>
    </row>
    <row r="83" spans="2:19" ht="12" thickBot="1">
      <c r="B83" s="158" t="s">
        <v>62</v>
      </c>
      <c r="C83" s="159"/>
      <c r="D83" s="120"/>
      <c r="E83" s="159">
        <f t="shared" si="19"/>
        <v>0.6600733808</v>
      </c>
      <c r="F83" s="159">
        <f t="shared" si="19"/>
        <v>1.038653719424232</v>
      </c>
      <c r="G83" s="159">
        <f t="shared" si="19"/>
        <v>0.89296667150266407</v>
      </c>
      <c r="H83" s="159">
        <f t="shared" si="19"/>
        <v>0.65106520000000001</v>
      </c>
      <c r="I83" s="159">
        <f t="shared" si="19"/>
        <v>0.29884959999999999</v>
      </c>
      <c r="J83" s="159">
        <f t="shared" si="19"/>
        <v>0.24108517428000004</v>
      </c>
      <c r="K83" s="160">
        <f t="shared" si="19"/>
        <v>0.34089667140000002</v>
      </c>
      <c r="L83" s="159">
        <f t="shared" si="19"/>
        <v>0.59356440232000007</v>
      </c>
      <c r="M83" s="159">
        <f t="shared" si="19"/>
        <v>0.37998299712000005</v>
      </c>
      <c r="N83" s="159">
        <f t="shared" si="19"/>
        <v>0.63078179415203994</v>
      </c>
      <c r="O83" s="159">
        <f t="shared" si="19"/>
        <v>0.26679563229600001</v>
      </c>
      <c r="P83" s="159">
        <f t="shared" si="19"/>
        <v>0.66667313267360007</v>
      </c>
      <c r="Q83" s="159">
        <f t="shared" si="19"/>
        <v>6.6613883759685351</v>
      </c>
    </row>
    <row r="84" spans="2:19" ht="12" thickBot="1">
      <c r="B84" s="158" t="s">
        <v>77</v>
      </c>
      <c r="C84" s="159"/>
      <c r="D84" s="120"/>
      <c r="E84" s="159">
        <f t="shared" si="19"/>
        <v>39.389220000000002</v>
      </c>
      <c r="F84" s="159">
        <f t="shared" si="19"/>
        <v>59.181106139999997</v>
      </c>
      <c r="G84" s="159">
        <f t="shared" si="19"/>
        <v>76.549575960000183</v>
      </c>
      <c r="H84" s="159">
        <f t="shared" si="19"/>
        <v>65.188071000000008</v>
      </c>
      <c r="I84" s="159">
        <f t="shared" si="19"/>
        <v>57.462561000000008</v>
      </c>
      <c r="J84" s="159">
        <f t="shared" si="19"/>
        <v>42.022748430000007</v>
      </c>
      <c r="K84" s="160">
        <f t="shared" si="19"/>
        <v>38.37859272</v>
      </c>
      <c r="L84" s="159">
        <f t="shared" si="19"/>
        <v>48.391615350000009</v>
      </c>
      <c r="M84" s="159">
        <f t="shared" si="19"/>
        <v>53.462161350000002</v>
      </c>
      <c r="N84" s="159">
        <f t="shared" si="19"/>
        <v>72.830341350000012</v>
      </c>
      <c r="O84" s="159">
        <f t="shared" si="19"/>
        <v>41.938855920000002</v>
      </c>
      <c r="P84" s="159">
        <f t="shared" si="19"/>
        <v>59.056083450000003</v>
      </c>
      <c r="Q84" s="159">
        <f t="shared" si="19"/>
        <v>653.85093267000036</v>
      </c>
    </row>
    <row r="85" spans="2:19">
      <c r="C85" s="119"/>
      <c r="E85" s="119"/>
      <c r="F85" s="119"/>
      <c r="G85" s="119"/>
      <c r="H85" s="119"/>
      <c r="I85" s="119"/>
      <c r="J85" s="119"/>
      <c r="K85" s="154"/>
      <c r="L85" s="119"/>
      <c r="M85" s="119"/>
      <c r="N85" s="119"/>
      <c r="O85" s="119"/>
      <c r="P85" s="119"/>
      <c r="Q85" s="119"/>
    </row>
    <row r="86" spans="2:19">
      <c r="B86" s="181" t="s">
        <v>86</v>
      </c>
      <c r="C86" s="119"/>
      <c r="E86" s="119">
        <f>E52+E57+E62</f>
        <v>118.49409</v>
      </c>
      <c r="F86" s="119">
        <f t="shared" ref="E86:K88" si="20">F52+F57+F62</f>
        <v>199.63588320000005</v>
      </c>
      <c r="G86" s="119">
        <f t="shared" ref="G86:L86" si="21">G52+G57+G62</f>
        <v>88.404316649999942</v>
      </c>
      <c r="H86" s="119">
        <f t="shared" si="21"/>
        <v>55.427814000000005</v>
      </c>
      <c r="I86" s="119">
        <f t="shared" si="21"/>
        <v>35.537345999999999</v>
      </c>
      <c r="J86" s="119">
        <f t="shared" si="21"/>
        <v>38.043893160000003</v>
      </c>
      <c r="K86" s="119">
        <f t="shared" si="21"/>
        <v>89.921780909999995</v>
      </c>
      <c r="L86" s="119">
        <f t="shared" si="21"/>
        <v>138.08554812</v>
      </c>
      <c r="M86" s="119">
        <f t="shared" ref="M86:P88" si="22">M52+M57+M62</f>
        <v>43.946400420000003</v>
      </c>
      <c r="N86" s="119">
        <f t="shared" si="22"/>
        <v>65.94897933</v>
      </c>
      <c r="O86" s="119">
        <f t="shared" si="22"/>
        <v>39.753407070000002</v>
      </c>
      <c r="P86" s="119">
        <f t="shared" si="22"/>
        <v>139.92976881000001</v>
      </c>
      <c r="Q86" s="119">
        <f>SUM(E86:P86)</f>
        <v>1053.1292276700001</v>
      </c>
    </row>
    <row r="87" spans="2:19">
      <c r="B87" s="181"/>
      <c r="C87" s="119"/>
      <c r="E87" s="119">
        <f t="shared" si="20"/>
        <v>0.45100033528</v>
      </c>
      <c r="F87" s="119">
        <f t="shared" si="20"/>
        <v>0.70453843364040003</v>
      </c>
      <c r="G87" s="119">
        <f t="shared" si="20"/>
        <v>0.39329166635680002</v>
      </c>
      <c r="H87" s="119">
        <f t="shared" si="20"/>
        <v>0.26683000000000001</v>
      </c>
      <c r="I87" s="119">
        <f t="shared" si="20"/>
        <v>0.20279079999999999</v>
      </c>
      <c r="J87" s="119">
        <f t="shared" si="20"/>
        <v>0.19224140912000004</v>
      </c>
      <c r="K87" s="119">
        <f t="shared" si="20"/>
        <v>0.34089667140000002</v>
      </c>
      <c r="L87" s="119">
        <f>L53+L58+L63</f>
        <v>0.50364269232000003</v>
      </c>
      <c r="M87" s="119">
        <f t="shared" si="22"/>
        <v>0.22440189536000002</v>
      </c>
      <c r="N87" s="119">
        <f t="shared" si="22"/>
        <v>0.32199893829039999</v>
      </c>
      <c r="O87" s="119">
        <f t="shared" si="22"/>
        <v>0.19293009735000002</v>
      </c>
      <c r="P87" s="119">
        <f t="shared" si="22"/>
        <v>0.52699224916920007</v>
      </c>
      <c r="Q87" s="119">
        <f t="shared" ref="Q87:Q88" si="23">SUM(E87:P87)</f>
        <v>4.3215551882868004</v>
      </c>
    </row>
    <row r="88" spans="2:19">
      <c r="B88" s="181"/>
      <c r="C88" s="119"/>
      <c r="E88" s="119">
        <f t="shared" si="20"/>
        <v>37.310949000000001</v>
      </c>
      <c r="F88" s="119">
        <f t="shared" si="20"/>
        <v>55.147628249999997</v>
      </c>
      <c r="G88" s="119">
        <f t="shared" si="20"/>
        <v>71.146071360000178</v>
      </c>
      <c r="H88" s="119">
        <f t="shared" si="20"/>
        <v>61.477650000000004</v>
      </c>
      <c r="I88" s="119">
        <f t="shared" si="20"/>
        <v>56.54855700000001</v>
      </c>
      <c r="J88" s="119">
        <f t="shared" si="20"/>
        <v>41.554756620000006</v>
      </c>
      <c r="K88" s="119">
        <f t="shared" si="20"/>
        <v>38.37859272</v>
      </c>
      <c r="L88" s="119">
        <f>L54+L59+L64</f>
        <v>47.530057770000006</v>
      </c>
      <c r="M88" s="119">
        <f t="shared" si="22"/>
        <v>51.971464350000005</v>
      </c>
      <c r="N88" s="119">
        <f t="shared" si="22"/>
        <v>69.513812550000011</v>
      </c>
      <c r="O88" s="119">
        <f t="shared" si="22"/>
        <v>41.231155680000001</v>
      </c>
      <c r="P88" s="119">
        <f t="shared" si="22"/>
        <v>57.717829260000002</v>
      </c>
      <c r="Q88" s="119">
        <f t="shared" si="23"/>
        <v>629.52852456000028</v>
      </c>
    </row>
    <row r="89" spans="2:19">
      <c r="B89" s="181"/>
      <c r="C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</row>
    <row r="90" spans="2:19">
      <c r="B90" s="181" t="s">
        <v>87</v>
      </c>
      <c r="C90" s="119"/>
      <c r="E90" s="119">
        <f t="shared" ref="E90:K92" si="24">E67+E72+E77</f>
        <v>68.593824000000012</v>
      </c>
      <c r="F90" s="119">
        <f t="shared" si="24"/>
        <v>104.22452898000002</v>
      </c>
      <c r="G90" s="119">
        <f t="shared" si="24"/>
        <v>158.55565787099999</v>
      </c>
      <c r="H90" s="119">
        <f t="shared" ref="H90:M90" si="25">H67+H72+H77</f>
        <v>124.815951</v>
      </c>
      <c r="I90" s="119">
        <f t="shared" si="25"/>
        <v>30.771468000000002</v>
      </c>
      <c r="J90" s="119">
        <f t="shared" si="25"/>
        <v>15.755688000000001</v>
      </c>
      <c r="K90" s="119">
        <f t="shared" si="25"/>
        <v>0</v>
      </c>
      <c r="L90" s="119">
        <f t="shared" si="25"/>
        <v>29.006678610000002</v>
      </c>
      <c r="M90" s="119">
        <f t="shared" si="25"/>
        <v>50.186762730000005</v>
      </c>
      <c r="N90" s="119">
        <f t="shared" ref="N90:P92" si="26">N67+N72+N77</f>
        <v>98.078396130000002</v>
      </c>
      <c r="O90" s="119">
        <f t="shared" si="26"/>
        <v>23.82732261</v>
      </c>
      <c r="P90" s="119">
        <f t="shared" si="26"/>
        <v>45.057676950000001</v>
      </c>
      <c r="Q90" s="119">
        <f t="shared" ref="Q90:Q96" si="27">SUM(E90:P90)</f>
        <v>748.87395488100015</v>
      </c>
      <c r="S90" s="247"/>
    </row>
    <row r="91" spans="2:19">
      <c r="B91" s="181"/>
      <c r="C91" s="119"/>
      <c r="E91" s="119">
        <f t="shared" si="24"/>
        <v>0.20907304552</v>
      </c>
      <c r="F91" s="119">
        <f t="shared" si="24"/>
        <v>0.33411528578383198</v>
      </c>
      <c r="G91" s="119">
        <f t="shared" si="24"/>
        <v>0.49967500514586405</v>
      </c>
      <c r="H91" s="119">
        <f t="shared" si="24"/>
        <v>0.3842352</v>
      </c>
      <c r="I91" s="119">
        <f t="shared" si="24"/>
        <v>9.60588E-2</v>
      </c>
      <c r="J91" s="119">
        <f t="shared" si="24"/>
        <v>4.8843765159999997E-2</v>
      </c>
      <c r="K91" s="119">
        <f t="shared" si="24"/>
        <v>0</v>
      </c>
      <c r="L91" s="119">
        <f>L68+L73+L78</f>
        <v>8.9921710000000016E-2</v>
      </c>
      <c r="M91" s="119">
        <f>M68+M73+M78</f>
        <v>0.15558110176000001</v>
      </c>
      <c r="N91" s="119">
        <f t="shared" si="26"/>
        <v>0.30878285586164</v>
      </c>
      <c r="O91" s="119">
        <f t="shared" si="26"/>
        <v>7.3865534946000011E-2</v>
      </c>
      <c r="P91" s="119">
        <f t="shared" si="26"/>
        <v>0.1396808835044</v>
      </c>
      <c r="Q91" s="119">
        <f t="shared" si="27"/>
        <v>2.339833187681736</v>
      </c>
      <c r="S91" s="247"/>
    </row>
    <row r="92" spans="2:19">
      <c r="B92" s="181"/>
      <c r="C92" s="119"/>
      <c r="E92" s="119">
        <f t="shared" si="24"/>
        <v>2.078271</v>
      </c>
      <c r="F92" s="119">
        <f t="shared" si="24"/>
        <v>4.0334778900000003</v>
      </c>
      <c r="G92" s="119">
        <f t="shared" si="24"/>
        <v>5.4035046000000007</v>
      </c>
      <c r="H92" s="119">
        <f t="shared" si="24"/>
        <v>3.7104210000000002</v>
      </c>
      <c r="I92" s="119">
        <f t="shared" si="24"/>
        <v>0.91400400000000004</v>
      </c>
      <c r="J92" s="119">
        <f t="shared" si="24"/>
        <v>0.46799181000000001</v>
      </c>
      <c r="K92" s="119">
        <f t="shared" si="24"/>
        <v>0</v>
      </c>
      <c r="L92" s="119">
        <f>L69+L74+L79</f>
        <v>0.86155758000000005</v>
      </c>
      <c r="M92" s="119">
        <f>M69+M74+M79</f>
        <v>1.4906970000000002</v>
      </c>
      <c r="N92" s="119">
        <f t="shared" si="26"/>
        <v>3.3165288000000004</v>
      </c>
      <c r="O92" s="119">
        <f t="shared" si="26"/>
        <v>0.70770023999999998</v>
      </c>
      <c r="P92" s="119">
        <f t="shared" si="26"/>
        <v>1.33825419</v>
      </c>
      <c r="Q92" s="119">
        <f t="shared" si="27"/>
        <v>24.322408110000005</v>
      </c>
      <c r="S92" s="247"/>
    </row>
    <row r="93" spans="2:19">
      <c r="B93" s="181"/>
      <c r="C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</row>
    <row r="94" spans="2:19">
      <c r="B94" s="181" t="s">
        <v>88</v>
      </c>
      <c r="C94" s="119"/>
      <c r="E94" s="119">
        <f t="shared" ref="E94:G96" si="28">E86+E90</f>
        <v>187.08791400000001</v>
      </c>
      <c r="F94" s="119">
        <f t="shared" si="28"/>
        <v>303.86041218000008</v>
      </c>
      <c r="G94" s="119">
        <f t="shared" si="28"/>
        <v>246.95997452099994</v>
      </c>
      <c r="H94" s="119">
        <f t="shared" ref="H94:K96" si="29">H86+H90</f>
        <v>180.243765</v>
      </c>
      <c r="I94" s="119">
        <f t="shared" si="29"/>
        <v>66.308813999999998</v>
      </c>
      <c r="J94" s="119">
        <f t="shared" si="29"/>
        <v>53.799581160000002</v>
      </c>
      <c r="K94" s="119">
        <f t="shared" si="29"/>
        <v>89.921780909999995</v>
      </c>
      <c r="L94" s="119">
        <f t="shared" ref="L94:P96" si="30">L86+L90</f>
        <v>167.09222672999999</v>
      </c>
      <c r="M94" s="119">
        <f t="shared" si="30"/>
        <v>94.133163150000001</v>
      </c>
      <c r="N94" s="119">
        <f t="shared" si="30"/>
        <v>164.02737546</v>
      </c>
      <c r="O94" s="119">
        <f t="shared" si="30"/>
        <v>63.580729680000005</v>
      </c>
      <c r="P94" s="119">
        <f t="shared" si="30"/>
        <v>184.98744576000001</v>
      </c>
      <c r="Q94" s="119">
        <f t="shared" si="27"/>
        <v>1802.003182551</v>
      </c>
    </row>
    <row r="95" spans="2:19">
      <c r="C95" s="119"/>
      <c r="E95" s="119">
        <f t="shared" si="28"/>
        <v>0.6600733808</v>
      </c>
      <c r="F95" s="119">
        <f t="shared" si="28"/>
        <v>1.038653719424232</v>
      </c>
      <c r="G95" s="119">
        <f t="shared" si="28"/>
        <v>0.89296667150266407</v>
      </c>
      <c r="H95" s="119">
        <f t="shared" si="29"/>
        <v>0.65106520000000001</v>
      </c>
      <c r="I95" s="119">
        <f t="shared" si="29"/>
        <v>0.29884959999999999</v>
      </c>
      <c r="J95" s="119">
        <f t="shared" si="29"/>
        <v>0.24108517428000004</v>
      </c>
      <c r="K95" s="119">
        <f t="shared" si="29"/>
        <v>0.34089667140000002</v>
      </c>
      <c r="L95" s="119">
        <f t="shared" si="30"/>
        <v>0.59356440232000007</v>
      </c>
      <c r="M95" s="119">
        <f t="shared" si="30"/>
        <v>0.37998299712000005</v>
      </c>
      <c r="N95" s="119">
        <f t="shared" si="30"/>
        <v>0.63078179415203994</v>
      </c>
      <c r="O95" s="119">
        <f t="shared" si="30"/>
        <v>0.26679563229600001</v>
      </c>
      <c r="P95" s="119">
        <f t="shared" si="30"/>
        <v>0.66667313267360007</v>
      </c>
      <c r="Q95" s="119">
        <f t="shared" si="27"/>
        <v>6.6613883759685368</v>
      </c>
    </row>
    <row r="96" spans="2:19">
      <c r="C96" s="119"/>
      <c r="E96" s="119">
        <f t="shared" si="28"/>
        <v>39.389220000000002</v>
      </c>
      <c r="F96" s="119">
        <f t="shared" si="28"/>
        <v>59.181106139999997</v>
      </c>
      <c r="G96" s="119">
        <f t="shared" si="28"/>
        <v>76.549575960000183</v>
      </c>
      <c r="H96" s="119">
        <f t="shared" si="29"/>
        <v>65.188071000000008</v>
      </c>
      <c r="I96" s="119">
        <f t="shared" si="29"/>
        <v>57.462561000000008</v>
      </c>
      <c r="J96" s="119">
        <f t="shared" si="29"/>
        <v>42.022748430000007</v>
      </c>
      <c r="K96" s="119">
        <f t="shared" si="29"/>
        <v>38.37859272</v>
      </c>
      <c r="L96" s="119">
        <f t="shared" si="30"/>
        <v>48.391615350000009</v>
      </c>
      <c r="M96" s="119">
        <f t="shared" si="30"/>
        <v>53.462161350000002</v>
      </c>
      <c r="N96" s="119">
        <f t="shared" si="30"/>
        <v>72.830341350000012</v>
      </c>
      <c r="O96" s="119">
        <f t="shared" si="30"/>
        <v>41.938855920000002</v>
      </c>
      <c r="P96" s="119">
        <f t="shared" si="30"/>
        <v>59.056083450000003</v>
      </c>
      <c r="Q96" s="119">
        <f t="shared" si="27"/>
        <v>653.85093267000025</v>
      </c>
    </row>
    <row r="97" spans="2:17">
      <c r="C97" s="119"/>
      <c r="E97" s="119"/>
      <c r="F97" s="119"/>
      <c r="G97" s="119"/>
      <c r="H97" s="119"/>
      <c r="I97" s="119"/>
      <c r="J97" s="119"/>
      <c r="K97" s="154"/>
      <c r="L97" s="119"/>
      <c r="M97" s="119"/>
      <c r="N97" s="119"/>
      <c r="O97" s="119"/>
      <c r="P97" s="119"/>
      <c r="Q97" s="119"/>
    </row>
    <row r="98" spans="2:17">
      <c r="C98" s="119"/>
      <c r="E98" s="119"/>
      <c r="F98" s="119"/>
      <c r="G98" s="119"/>
      <c r="H98" s="119"/>
      <c r="I98" s="119"/>
      <c r="J98" s="119"/>
      <c r="K98" s="154"/>
      <c r="L98" s="119"/>
      <c r="M98" s="119"/>
      <c r="N98" s="119"/>
      <c r="O98" s="119"/>
      <c r="P98" s="119"/>
      <c r="Q98" s="119"/>
    </row>
    <row r="99" spans="2:17">
      <c r="B99" s="181" t="s">
        <v>118</v>
      </c>
      <c r="C99" s="119"/>
      <c r="E99" s="119">
        <f t="shared" ref="E99:P99" si="31">E27+E32</f>
        <v>63.04</v>
      </c>
      <c r="F99" s="119">
        <f t="shared" si="31"/>
        <v>95.785799999999995</v>
      </c>
      <c r="G99" s="119">
        <f t="shared" si="31"/>
        <v>145.71790999999999</v>
      </c>
      <c r="H99" s="119">
        <f t="shared" si="31"/>
        <v>114.71</v>
      </c>
      <c r="I99" s="119">
        <f t="shared" si="31"/>
        <v>28.28</v>
      </c>
      <c r="J99" s="119">
        <f t="shared" si="31"/>
        <v>14.48</v>
      </c>
      <c r="K99" s="119">
        <f t="shared" si="31"/>
        <v>0</v>
      </c>
      <c r="L99" s="119">
        <f t="shared" si="31"/>
        <v>26.658100000000001</v>
      </c>
      <c r="M99" s="119">
        <f t="shared" si="31"/>
        <v>46.1233</v>
      </c>
      <c r="N99" s="119">
        <f t="shared" si="31"/>
        <v>90.137299999999996</v>
      </c>
      <c r="O99" s="119">
        <f t="shared" si="31"/>
        <v>21.898099999999999</v>
      </c>
      <c r="P99" s="119">
        <f t="shared" si="31"/>
        <v>41.409500000000001</v>
      </c>
      <c r="Q99" s="119">
        <f t="shared" ref="Q99:Q101" si="32">SUM(E99:P99)</f>
        <v>688.24000999999987</v>
      </c>
    </row>
    <row r="100" spans="2:17">
      <c r="C100" s="119"/>
      <c r="E100" s="119">
        <f t="shared" ref="E100:P101" si="33">E28+E33</f>
        <v>0.195886</v>
      </c>
      <c r="F100" s="119">
        <f t="shared" si="33"/>
        <v>0.31304134259999999</v>
      </c>
      <c r="G100" s="119">
        <f t="shared" si="33"/>
        <v>0.46815857020000001</v>
      </c>
      <c r="H100" s="119">
        <f t="shared" si="33"/>
        <v>0.36</v>
      </c>
      <c r="I100" s="119">
        <f t="shared" si="33"/>
        <v>0.09</v>
      </c>
      <c r="J100" s="119">
        <f t="shared" si="33"/>
        <v>4.5762999999999998E-2</v>
      </c>
      <c r="K100" s="119">
        <f t="shared" si="33"/>
        <v>0</v>
      </c>
      <c r="L100" s="119">
        <f t="shared" si="33"/>
        <v>8.4250000000000005E-2</v>
      </c>
      <c r="M100" s="119">
        <f t="shared" si="33"/>
        <v>0.14576800000000001</v>
      </c>
      <c r="N100" s="119">
        <f t="shared" si="33"/>
        <v>0.28930672699999999</v>
      </c>
      <c r="O100" s="119">
        <f t="shared" si="33"/>
        <v>6.9206550000000006E-2</v>
      </c>
      <c r="P100" s="119">
        <f t="shared" si="33"/>
        <v>0.13087066999999999</v>
      </c>
      <c r="Q100" s="119">
        <f t="shared" si="32"/>
        <v>2.1922508598000006</v>
      </c>
    </row>
    <row r="101" spans="2:17">
      <c r="C101" s="119"/>
      <c r="E101" s="119">
        <f t="shared" si="33"/>
        <v>1.9100000000000001</v>
      </c>
      <c r="F101" s="119">
        <f t="shared" si="33"/>
        <v>3.7068999999999996</v>
      </c>
      <c r="G101" s="119">
        <f t="shared" si="33"/>
        <v>4.9660000000000002</v>
      </c>
      <c r="H101" s="119">
        <f t="shared" si="33"/>
        <v>3.41</v>
      </c>
      <c r="I101" s="119">
        <f t="shared" si="33"/>
        <v>0.84</v>
      </c>
      <c r="J101" s="119">
        <f t="shared" si="33"/>
        <v>0.43009999999999998</v>
      </c>
      <c r="K101" s="119">
        <f t="shared" si="33"/>
        <v>0</v>
      </c>
      <c r="L101" s="119">
        <f t="shared" si="33"/>
        <v>0.79179999999999995</v>
      </c>
      <c r="M101" s="119">
        <f t="shared" si="33"/>
        <v>1.37</v>
      </c>
      <c r="N101" s="119">
        <f t="shared" si="33"/>
        <v>3.048</v>
      </c>
      <c r="O101" s="119">
        <f t="shared" si="33"/>
        <v>0.65039999999999998</v>
      </c>
      <c r="P101" s="119">
        <f t="shared" si="33"/>
        <v>1.2299</v>
      </c>
      <c r="Q101" s="119">
        <f t="shared" si="32"/>
        <v>22.353100000000001</v>
      </c>
    </row>
    <row r="102" spans="2:17">
      <c r="C102" s="119"/>
      <c r="E102" s="119"/>
      <c r="F102" s="119"/>
      <c r="G102" s="119"/>
      <c r="H102" s="119"/>
      <c r="I102" s="119"/>
      <c r="J102" s="119"/>
      <c r="K102" s="154"/>
      <c r="L102" s="119"/>
      <c r="M102" s="119"/>
      <c r="N102" s="119"/>
      <c r="O102" s="119"/>
      <c r="P102" s="119"/>
      <c r="Q102" s="119"/>
    </row>
    <row r="103" spans="2:17">
      <c r="C103" s="119"/>
      <c r="E103" s="119"/>
      <c r="F103" s="119"/>
      <c r="G103" s="119"/>
      <c r="H103" s="119"/>
      <c r="I103" s="119"/>
      <c r="J103" s="119"/>
      <c r="K103" s="154"/>
      <c r="L103" s="119"/>
      <c r="M103" s="119"/>
      <c r="N103" s="119"/>
      <c r="O103" s="119"/>
      <c r="P103" s="119"/>
      <c r="Q103" s="119"/>
    </row>
    <row r="104" spans="2:17">
      <c r="C104" s="119"/>
      <c r="E104" s="119"/>
      <c r="F104" s="119"/>
      <c r="G104" s="119"/>
      <c r="H104" s="119"/>
      <c r="I104" s="119"/>
      <c r="J104" s="119"/>
      <c r="K104" s="154"/>
      <c r="L104" s="119"/>
      <c r="M104" s="119"/>
      <c r="N104" s="119"/>
      <c r="O104" s="119"/>
      <c r="P104" s="119"/>
      <c r="Q104" s="119"/>
    </row>
    <row r="105" spans="2:17">
      <c r="C105" s="119"/>
      <c r="E105" s="119"/>
      <c r="F105" s="119"/>
      <c r="G105" s="119"/>
      <c r="H105" s="119"/>
      <c r="I105" s="119"/>
      <c r="J105" s="119"/>
      <c r="K105" s="154"/>
      <c r="L105" s="119"/>
      <c r="M105" s="119"/>
      <c r="N105" s="119"/>
      <c r="O105" s="119"/>
      <c r="P105" s="119"/>
      <c r="Q105" s="119"/>
    </row>
    <row r="106" spans="2:17">
      <c r="C106" s="119"/>
      <c r="E106" s="119"/>
      <c r="F106" s="119"/>
      <c r="G106" s="119"/>
      <c r="H106" s="119"/>
      <c r="I106" s="119"/>
      <c r="J106" s="119"/>
      <c r="K106" s="154"/>
      <c r="L106" s="119"/>
      <c r="M106" s="119"/>
      <c r="N106" s="119"/>
      <c r="O106" s="119"/>
      <c r="P106" s="119"/>
      <c r="Q106" s="119"/>
    </row>
    <row r="107" spans="2:17">
      <c r="C107" s="119"/>
      <c r="E107" s="119"/>
      <c r="F107" s="119"/>
      <c r="G107" s="119"/>
      <c r="H107" s="119"/>
      <c r="I107" s="119"/>
      <c r="J107" s="119"/>
      <c r="K107" s="154"/>
      <c r="L107" s="119"/>
      <c r="M107" s="119"/>
      <c r="N107" s="119"/>
      <c r="O107" s="119"/>
      <c r="P107" s="119"/>
      <c r="Q107" s="119"/>
    </row>
    <row r="108" spans="2:17">
      <c r="C108" s="119"/>
      <c r="E108" s="119"/>
      <c r="F108" s="119"/>
      <c r="G108" s="119"/>
      <c r="H108" s="119"/>
      <c r="I108" s="119"/>
      <c r="J108" s="119"/>
      <c r="K108" s="154"/>
      <c r="L108" s="119"/>
      <c r="M108" s="119"/>
      <c r="N108" s="119"/>
      <c r="O108" s="119"/>
      <c r="P108" s="119"/>
      <c r="Q108" s="119"/>
    </row>
    <row r="109" spans="2:17">
      <c r="C109" s="119"/>
      <c r="E109" s="119"/>
      <c r="F109" s="119"/>
      <c r="G109" s="119"/>
      <c r="H109" s="119"/>
      <c r="I109" s="119"/>
      <c r="J109" s="119"/>
      <c r="K109" s="154"/>
      <c r="L109" s="119"/>
      <c r="M109" s="119"/>
      <c r="N109" s="119"/>
      <c r="O109" s="119"/>
      <c r="P109" s="119"/>
      <c r="Q109" s="119"/>
    </row>
    <row r="110" spans="2:17">
      <c r="C110" s="119"/>
      <c r="E110" s="119"/>
      <c r="F110" s="119"/>
      <c r="G110" s="119"/>
      <c r="H110" s="119"/>
      <c r="I110" s="119"/>
      <c r="J110" s="119"/>
      <c r="K110" s="154"/>
      <c r="L110" s="119"/>
      <c r="M110" s="119"/>
      <c r="N110" s="119"/>
      <c r="O110" s="119"/>
      <c r="P110" s="119"/>
      <c r="Q110" s="119"/>
    </row>
    <row r="111" spans="2:17">
      <c r="C111" s="119"/>
      <c r="E111" s="119"/>
      <c r="F111" s="119"/>
      <c r="G111" s="119"/>
      <c r="H111" s="119"/>
      <c r="I111" s="119"/>
      <c r="J111" s="119"/>
      <c r="K111" s="154"/>
      <c r="L111" s="119"/>
      <c r="M111" s="119"/>
      <c r="N111" s="119"/>
      <c r="O111" s="119"/>
      <c r="P111" s="119"/>
      <c r="Q111" s="119"/>
    </row>
    <row r="112" spans="2:17">
      <c r="C112" s="119"/>
      <c r="E112" s="119"/>
      <c r="F112" s="119"/>
      <c r="G112" s="119"/>
      <c r="H112" s="119"/>
      <c r="I112" s="119"/>
      <c r="J112" s="119"/>
      <c r="K112" s="154"/>
      <c r="L112" s="119"/>
      <c r="M112" s="119"/>
      <c r="N112" s="119"/>
      <c r="O112" s="119"/>
      <c r="P112" s="119"/>
      <c r="Q112" s="119"/>
    </row>
    <row r="113" spans="3:17">
      <c r="C113" s="119"/>
      <c r="E113" s="119"/>
      <c r="F113" s="119"/>
      <c r="G113" s="119"/>
      <c r="H113" s="119"/>
      <c r="I113" s="119"/>
      <c r="J113" s="119"/>
      <c r="K113" s="154"/>
      <c r="L113" s="119"/>
      <c r="M113" s="119"/>
      <c r="N113" s="119"/>
      <c r="O113" s="119"/>
      <c r="P113" s="119"/>
      <c r="Q113" s="119"/>
    </row>
    <row r="114" spans="3:17">
      <c r="C114" s="119"/>
      <c r="E114" s="119"/>
      <c r="F114" s="119"/>
      <c r="G114" s="119"/>
      <c r="H114" s="119"/>
      <c r="I114" s="119"/>
      <c r="J114" s="119"/>
      <c r="K114" s="154"/>
      <c r="L114" s="119"/>
      <c r="M114" s="119"/>
      <c r="N114" s="119"/>
      <c r="O114" s="119"/>
      <c r="P114" s="119"/>
      <c r="Q114" s="119"/>
    </row>
    <row r="115" spans="3:17">
      <c r="C115" s="119"/>
      <c r="E115" s="119"/>
      <c r="F115" s="119"/>
      <c r="G115" s="119"/>
      <c r="H115" s="119"/>
      <c r="I115" s="119"/>
      <c r="J115" s="119"/>
      <c r="K115" s="154"/>
      <c r="L115" s="119"/>
      <c r="M115" s="119"/>
      <c r="N115" s="119"/>
      <c r="O115" s="119"/>
      <c r="P115" s="119"/>
      <c r="Q115" s="119"/>
    </row>
    <row r="116" spans="3:17">
      <c r="C116" s="119"/>
      <c r="E116" s="119"/>
      <c r="F116" s="119"/>
      <c r="G116" s="119"/>
      <c r="H116" s="119"/>
      <c r="I116" s="119"/>
      <c r="J116" s="119"/>
      <c r="K116" s="154"/>
      <c r="L116" s="119"/>
      <c r="M116" s="119"/>
      <c r="N116" s="119"/>
      <c r="O116" s="119"/>
      <c r="P116" s="119"/>
      <c r="Q116" s="119"/>
    </row>
    <row r="117" spans="3:17">
      <c r="C117" s="119"/>
      <c r="E117" s="119"/>
      <c r="F117" s="119"/>
      <c r="G117" s="119"/>
      <c r="H117" s="119"/>
      <c r="I117" s="119"/>
      <c r="J117" s="119"/>
      <c r="K117" s="154"/>
      <c r="L117" s="119"/>
      <c r="M117" s="119"/>
      <c r="N117" s="119"/>
      <c r="O117" s="119"/>
      <c r="P117" s="119"/>
      <c r="Q117" s="119"/>
    </row>
    <row r="118" spans="3:17">
      <c r="C118" s="119"/>
      <c r="E118" s="119"/>
      <c r="F118" s="119"/>
      <c r="G118" s="119"/>
      <c r="H118" s="119"/>
      <c r="I118" s="119"/>
      <c r="J118" s="119"/>
      <c r="K118" s="154"/>
      <c r="L118" s="119"/>
      <c r="M118" s="119"/>
      <c r="N118" s="119"/>
      <c r="O118" s="119"/>
      <c r="P118" s="119"/>
      <c r="Q118" s="119"/>
    </row>
    <row r="119" spans="3:17">
      <c r="C119" s="119"/>
      <c r="E119" s="119"/>
      <c r="F119" s="119"/>
      <c r="G119" s="119"/>
      <c r="H119" s="119"/>
      <c r="I119" s="119"/>
      <c r="J119" s="119"/>
      <c r="K119" s="154"/>
      <c r="L119" s="119"/>
      <c r="M119" s="119"/>
      <c r="N119" s="119"/>
      <c r="O119" s="119"/>
      <c r="P119" s="119"/>
      <c r="Q119" s="119"/>
    </row>
    <row r="120" spans="3:17">
      <c r="C120" s="119"/>
      <c r="E120" s="119"/>
      <c r="F120" s="119"/>
      <c r="G120" s="119"/>
      <c r="H120" s="119"/>
      <c r="I120" s="119"/>
      <c r="J120" s="119"/>
      <c r="K120" s="154"/>
      <c r="L120" s="119"/>
      <c r="M120" s="119"/>
      <c r="N120" s="119"/>
      <c r="O120" s="119"/>
      <c r="P120" s="119"/>
      <c r="Q120" s="119"/>
    </row>
    <row r="121" spans="3:17">
      <c r="C121" s="119"/>
      <c r="E121" s="119"/>
      <c r="F121" s="119"/>
      <c r="G121" s="119"/>
      <c r="H121" s="119"/>
      <c r="I121" s="119"/>
      <c r="J121" s="119"/>
      <c r="K121" s="154"/>
      <c r="L121" s="119"/>
      <c r="M121" s="119"/>
      <c r="N121" s="119"/>
      <c r="O121" s="119"/>
      <c r="P121" s="119"/>
      <c r="Q121" s="119"/>
    </row>
    <row r="122" spans="3:17">
      <c r="C122" s="119"/>
      <c r="E122" s="119"/>
      <c r="F122" s="119"/>
      <c r="G122" s="119"/>
      <c r="H122" s="119"/>
      <c r="I122" s="119"/>
      <c r="J122" s="119"/>
      <c r="K122" s="154"/>
      <c r="L122" s="119"/>
      <c r="M122" s="119"/>
      <c r="N122" s="119"/>
      <c r="O122" s="119"/>
      <c r="P122" s="119"/>
      <c r="Q122" s="119"/>
    </row>
    <row r="123" spans="3:17">
      <c r="C123" s="119"/>
      <c r="E123" s="119"/>
      <c r="F123" s="119"/>
      <c r="G123" s="119"/>
      <c r="H123" s="119"/>
      <c r="I123" s="119"/>
      <c r="J123" s="119"/>
      <c r="K123" s="154"/>
      <c r="L123" s="119"/>
      <c r="M123" s="119"/>
      <c r="N123" s="119"/>
      <c r="O123" s="119"/>
      <c r="P123" s="119"/>
      <c r="Q123" s="119"/>
    </row>
    <row r="124" spans="3:17">
      <c r="C124" s="119"/>
      <c r="E124" s="119"/>
      <c r="F124" s="119"/>
      <c r="G124" s="119"/>
      <c r="H124" s="119"/>
      <c r="I124" s="119"/>
      <c r="J124" s="119"/>
      <c r="K124" s="154"/>
      <c r="L124" s="119"/>
      <c r="M124" s="119"/>
      <c r="N124" s="119"/>
      <c r="O124" s="119"/>
      <c r="P124" s="119"/>
      <c r="Q124" s="119"/>
    </row>
    <row r="125" spans="3:17">
      <c r="C125" s="119"/>
      <c r="E125" s="119"/>
      <c r="F125" s="119"/>
      <c r="G125" s="119"/>
      <c r="H125" s="119"/>
      <c r="I125" s="119"/>
      <c r="J125" s="119"/>
      <c r="K125" s="154"/>
      <c r="L125" s="119"/>
      <c r="M125" s="119"/>
      <c r="N125" s="119"/>
      <c r="O125" s="119"/>
      <c r="P125" s="119"/>
      <c r="Q125" s="119"/>
    </row>
    <row r="126" spans="3:17">
      <c r="C126" s="119"/>
      <c r="E126" s="119"/>
      <c r="F126" s="119"/>
      <c r="G126" s="119"/>
      <c r="H126" s="119"/>
      <c r="I126" s="119"/>
      <c r="J126" s="119"/>
      <c r="K126" s="154"/>
      <c r="L126" s="119"/>
      <c r="M126" s="119"/>
      <c r="N126" s="119"/>
      <c r="O126" s="119"/>
      <c r="P126" s="119"/>
      <c r="Q126" s="119"/>
    </row>
    <row r="127" spans="3:17">
      <c r="C127" s="119"/>
      <c r="E127" s="119"/>
      <c r="F127" s="119"/>
      <c r="G127" s="119"/>
      <c r="H127" s="119"/>
      <c r="I127" s="119"/>
      <c r="J127" s="119"/>
      <c r="K127" s="154"/>
      <c r="L127" s="119"/>
      <c r="M127" s="119"/>
      <c r="N127" s="119"/>
      <c r="O127" s="119"/>
      <c r="P127" s="119"/>
      <c r="Q127" s="119"/>
    </row>
    <row r="128" spans="3:17">
      <c r="C128" s="119"/>
      <c r="E128" s="119"/>
      <c r="F128" s="119"/>
      <c r="G128" s="119"/>
      <c r="H128" s="119"/>
      <c r="I128" s="119"/>
      <c r="J128" s="119"/>
      <c r="K128" s="154"/>
      <c r="L128" s="119"/>
      <c r="M128" s="119"/>
      <c r="N128" s="119"/>
      <c r="O128" s="119"/>
      <c r="P128" s="119"/>
      <c r="Q128" s="119"/>
    </row>
    <row r="129" spans="3:17">
      <c r="C129" s="119"/>
      <c r="E129" s="119"/>
      <c r="F129" s="119"/>
      <c r="G129" s="119"/>
      <c r="H129" s="119"/>
      <c r="I129" s="119"/>
      <c r="J129" s="119"/>
      <c r="K129" s="154"/>
      <c r="L129" s="119"/>
      <c r="M129" s="119"/>
      <c r="N129" s="119"/>
      <c r="O129" s="119"/>
      <c r="P129" s="119"/>
      <c r="Q129" s="119"/>
    </row>
    <row r="130" spans="3:17">
      <c r="C130" s="119"/>
      <c r="E130" s="119"/>
      <c r="F130" s="119"/>
      <c r="G130" s="119"/>
      <c r="H130" s="119"/>
      <c r="I130" s="119"/>
      <c r="J130" s="119"/>
      <c r="K130" s="154"/>
      <c r="L130" s="119"/>
      <c r="M130" s="119"/>
      <c r="N130" s="119"/>
      <c r="O130" s="119"/>
      <c r="P130" s="119"/>
      <c r="Q130" s="119"/>
    </row>
    <row r="131" spans="3:17">
      <c r="C131" s="119"/>
      <c r="E131" s="119"/>
      <c r="F131" s="119"/>
      <c r="G131" s="119"/>
      <c r="H131" s="119"/>
      <c r="I131" s="119"/>
      <c r="J131" s="119"/>
      <c r="K131" s="154"/>
      <c r="L131" s="119"/>
      <c r="M131" s="119"/>
      <c r="N131" s="119"/>
      <c r="O131" s="119"/>
      <c r="P131" s="119"/>
      <c r="Q131" s="119"/>
    </row>
    <row r="132" spans="3:17">
      <c r="C132" s="119"/>
      <c r="E132" s="119"/>
      <c r="F132" s="119"/>
      <c r="G132" s="119"/>
      <c r="H132" s="119"/>
      <c r="I132" s="119"/>
      <c r="J132" s="119"/>
      <c r="K132" s="154"/>
      <c r="L132" s="119"/>
      <c r="M132" s="119"/>
      <c r="N132" s="119"/>
      <c r="O132" s="119"/>
      <c r="P132" s="119"/>
      <c r="Q132" s="119"/>
    </row>
    <row r="133" spans="3:17">
      <c r="C133" s="119"/>
      <c r="E133" s="119"/>
      <c r="F133" s="119"/>
      <c r="G133" s="119"/>
      <c r="H133" s="119"/>
      <c r="I133" s="119"/>
      <c r="J133" s="119"/>
      <c r="K133" s="154"/>
      <c r="L133" s="119"/>
      <c r="M133" s="119"/>
      <c r="N133" s="119"/>
      <c r="O133" s="119"/>
      <c r="P133" s="119"/>
      <c r="Q133" s="119"/>
    </row>
    <row r="134" spans="3:17">
      <c r="C134" s="119"/>
      <c r="E134" s="119"/>
      <c r="F134" s="119"/>
      <c r="G134" s="119"/>
      <c r="H134" s="119"/>
      <c r="I134" s="119"/>
      <c r="J134" s="119"/>
      <c r="K134" s="154"/>
      <c r="L134" s="119"/>
      <c r="M134" s="119"/>
      <c r="N134" s="119"/>
      <c r="O134" s="119"/>
      <c r="P134" s="119"/>
      <c r="Q134" s="119"/>
    </row>
    <row r="135" spans="3:17">
      <c r="C135" s="119"/>
      <c r="E135" s="119"/>
      <c r="F135" s="119"/>
      <c r="G135" s="119"/>
      <c r="H135" s="119"/>
      <c r="I135" s="119"/>
      <c r="J135" s="119"/>
      <c r="K135" s="154"/>
      <c r="L135" s="119"/>
      <c r="M135" s="119"/>
      <c r="N135" s="119"/>
      <c r="O135" s="119"/>
      <c r="P135" s="119"/>
      <c r="Q135" s="119"/>
    </row>
    <row r="136" spans="3:17" ht="409.6">
      <c r="C136" s="119"/>
      <c r="E136" s="119"/>
      <c r="F136" s="119"/>
      <c r="G136" s="119"/>
      <c r="H136" s="119"/>
      <c r="I136" s="119"/>
      <c r="J136" s="119"/>
      <c r="K136" s="154"/>
      <c r="L136" s="119"/>
      <c r="M136" s="119"/>
      <c r="N136" s="119"/>
      <c r="O136" s="119"/>
      <c r="P136" s="119"/>
      <c r="Q136" s="119"/>
    </row>
    <row r="137" spans="3:17">
      <c r="C137" s="119"/>
      <c r="E137" s="119"/>
      <c r="F137" s="119"/>
      <c r="G137" s="119"/>
      <c r="H137" s="119"/>
      <c r="I137" s="119"/>
      <c r="J137" s="119"/>
      <c r="K137" s="154"/>
      <c r="L137" s="119"/>
      <c r="M137" s="119"/>
      <c r="N137" s="119"/>
      <c r="O137" s="119"/>
      <c r="P137" s="119"/>
      <c r="Q137" s="119"/>
    </row>
  </sheetData>
  <printOptions horizontalCentered="1"/>
  <pageMargins left="0" right="0" top="1" bottom="1" header="0.5" footer="0.5"/>
  <pageSetup scale="63" orientation="landscape" r:id="rId1"/>
  <headerFooter alignWithMargins="0">
    <oddFooter>&amp;F</oddFooter>
  </headerFooter>
  <rowBreaks count="1" manualBreakCount="1">
    <brk id="47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workbookViewId="0">
      <selection activeCell="A7" sqref="A7"/>
    </sheetView>
  </sheetViews>
  <sheetFormatPr defaultRowHeight="11.25"/>
  <cols>
    <col min="1" max="1" width="18.5703125" style="251" customWidth="1"/>
    <col min="2" max="2" width="8" style="251" bestFit="1" customWidth="1"/>
    <col min="3" max="3" width="9.42578125" style="251" bestFit="1" customWidth="1"/>
    <col min="4" max="4" width="8" style="251" bestFit="1" customWidth="1"/>
    <col min="5" max="5" width="8.7109375" style="251" bestFit="1" customWidth="1"/>
    <col min="6" max="6" width="9.140625" style="251" bestFit="1" customWidth="1"/>
    <col min="7" max="7" width="10" style="251" bestFit="1" customWidth="1"/>
    <col min="8" max="16384" width="9.140625" style="251"/>
  </cols>
  <sheetData>
    <row r="1" spans="1:7" s="274" customFormat="1">
      <c r="A1" s="274" t="s">
        <v>20</v>
      </c>
    </row>
    <row r="2" spans="1:7" s="274" customFormat="1">
      <c r="A2" s="274" t="s">
        <v>120</v>
      </c>
    </row>
    <row r="3" spans="1:7" s="274" customFormat="1">
      <c r="A3" s="274" t="s">
        <v>121</v>
      </c>
    </row>
    <row r="4" spans="1:7" s="274" customFormat="1">
      <c r="A4" s="274" t="s">
        <v>122</v>
      </c>
    </row>
    <row r="5" spans="1:7" s="274" customFormat="1">
      <c r="A5" s="274" t="s">
        <v>123</v>
      </c>
    </row>
    <row r="6" spans="1:7" s="274" customFormat="1">
      <c r="A6" s="274" t="s">
        <v>126</v>
      </c>
    </row>
    <row r="7" spans="1:7" s="274" customFormat="1"/>
    <row r="8" spans="1:7">
      <c r="A8" s="250" t="s">
        <v>41</v>
      </c>
    </row>
    <row r="9" spans="1:7">
      <c r="A9" s="252" t="s">
        <v>42</v>
      </c>
    </row>
    <row r="10" spans="1:7" ht="12" thickBot="1">
      <c r="A10" s="252"/>
    </row>
    <row r="11" spans="1:7" s="254" customFormat="1" ht="12" customHeight="1" thickBot="1">
      <c r="A11" s="253"/>
      <c r="B11" s="308" t="s">
        <v>110</v>
      </c>
      <c r="C11" s="309"/>
      <c r="D11" s="309"/>
      <c r="E11" s="309"/>
      <c r="F11" s="309"/>
      <c r="G11" s="310"/>
    </row>
    <row r="12" spans="1:7" ht="12" thickBot="1">
      <c r="A12" s="255" t="s">
        <v>112</v>
      </c>
      <c r="B12" s="256" t="s">
        <v>43</v>
      </c>
      <c r="C12" s="257" t="s">
        <v>44</v>
      </c>
      <c r="D12" s="257" t="s">
        <v>45</v>
      </c>
      <c r="E12" s="257" t="s">
        <v>46</v>
      </c>
      <c r="F12" s="257" t="s">
        <v>47</v>
      </c>
      <c r="G12" s="258" t="s">
        <v>48</v>
      </c>
    </row>
    <row r="13" spans="1:7">
      <c r="A13" s="255" t="s">
        <v>97</v>
      </c>
      <c r="B13" s="259">
        <f>'2012 AR - Solar'!F21</f>
        <v>1145</v>
      </c>
      <c r="C13" s="260">
        <f>'2012 AR - Solar'!F57</f>
        <v>113</v>
      </c>
      <c r="D13" s="260">
        <f>'2012 AR - Solar'!F92</f>
        <v>22</v>
      </c>
      <c r="E13" s="260">
        <f>'2012 AR - Solar'!F128</f>
        <v>225</v>
      </c>
      <c r="F13" s="260">
        <f>'2012 AR - Solar'!F163</f>
        <v>66</v>
      </c>
      <c r="G13" s="261">
        <f>'2012 AR - Solar'!F199</f>
        <v>0</v>
      </c>
    </row>
    <row r="14" spans="1:7">
      <c r="A14" s="262" t="s">
        <v>115</v>
      </c>
      <c r="B14" s="263">
        <f t="shared" ref="B14:G14" si="0">+B13/B26</f>
        <v>5.8977116113366056E-2</v>
      </c>
      <c r="C14" s="264">
        <f t="shared" si="0"/>
        <v>0.14124999999999999</v>
      </c>
      <c r="D14" s="264">
        <f t="shared" si="0"/>
        <v>9.4542176220801133E-2</v>
      </c>
      <c r="E14" s="264">
        <f t="shared" si="0"/>
        <v>0.16544117647058823</v>
      </c>
      <c r="F14" s="264">
        <f t="shared" si="0"/>
        <v>0.23511869183209855</v>
      </c>
      <c r="G14" s="265">
        <f t="shared" si="0"/>
        <v>0</v>
      </c>
    </row>
    <row r="15" spans="1:7">
      <c r="A15" s="255" t="s">
        <v>119</v>
      </c>
      <c r="B15" s="266"/>
      <c r="C15" s="267"/>
      <c r="D15" s="267"/>
      <c r="E15" s="267"/>
      <c r="F15" s="267"/>
      <c r="G15" s="268"/>
    </row>
    <row r="16" spans="1:7">
      <c r="A16" s="269">
        <v>2010</v>
      </c>
      <c r="B16" s="270">
        <v>0</v>
      </c>
      <c r="C16" s="271">
        <v>0</v>
      </c>
      <c r="D16" s="271">
        <v>0</v>
      </c>
      <c r="E16" s="272">
        <v>0</v>
      </c>
      <c r="F16" s="271">
        <v>0</v>
      </c>
      <c r="G16" s="273">
        <v>0</v>
      </c>
    </row>
    <row r="17" spans="1:8">
      <c r="A17" s="269">
        <v>2011</v>
      </c>
      <c r="B17" s="270">
        <f>'2012 AR - Solar'!L21</f>
        <v>4588.3097434448337</v>
      </c>
      <c r="C17" s="271">
        <f>'2012 AR - Solar'!L56</f>
        <v>200</v>
      </c>
      <c r="D17" s="271">
        <f>'2012 AR - Solar'!L91</f>
        <v>42.594443641718271</v>
      </c>
      <c r="E17" s="272">
        <f>'2012 AR - Solar'!L127</f>
        <v>340</v>
      </c>
      <c r="F17" s="271">
        <f>'2012 AR - Solar'!L162</f>
        <v>63.443218553037099</v>
      </c>
      <c r="G17" s="273">
        <f>'2012 AR - Solar'!L198</f>
        <v>18</v>
      </c>
    </row>
    <row r="18" spans="1:8">
      <c r="A18" s="269">
        <v>2012</v>
      </c>
      <c r="B18" s="270">
        <f>'2012 AR - Solar'!L22</f>
        <v>4882</v>
      </c>
      <c r="C18" s="271">
        <f>'2012 AR - Solar'!L57</f>
        <v>200</v>
      </c>
      <c r="D18" s="271">
        <f>'2012 AR - Solar'!L92</f>
        <v>51.834265266836603</v>
      </c>
      <c r="E18" s="272">
        <f>'2012 AR - Solar'!L128</f>
        <v>340</v>
      </c>
      <c r="F18" s="271">
        <f>'2012 AR - Solar'!L163</f>
        <v>66.443676072211204</v>
      </c>
      <c r="G18" s="273">
        <f>'2012 AR - Solar'!L199</f>
        <v>22</v>
      </c>
    </row>
    <row r="19" spans="1:8" ht="11.25" customHeight="1">
      <c r="A19" s="269">
        <v>2013</v>
      </c>
      <c r="B19" s="270">
        <f>'2012 AR - Solar'!L23</f>
        <v>4974</v>
      </c>
      <c r="C19" s="271">
        <f>'2012 AR - Solar'!L58</f>
        <v>200</v>
      </c>
      <c r="D19" s="271">
        <f>'2012 AR - Solar'!L93</f>
        <v>62.752299096201398</v>
      </c>
      <c r="E19" s="272">
        <f>'2012 AR - Solar'!L129</f>
        <v>340</v>
      </c>
      <c r="F19" s="271">
        <f>'2012 AR - Solar'!L164</f>
        <v>71.488621794719293</v>
      </c>
      <c r="G19" s="273">
        <f>'2012 AR - Solar'!L200</f>
        <v>21</v>
      </c>
    </row>
    <row r="20" spans="1:8">
      <c r="A20" s="269">
        <v>2014</v>
      </c>
      <c r="B20" s="270">
        <f>'2012 AR - Solar'!L24</f>
        <v>4970</v>
      </c>
      <c r="C20" s="271">
        <f>'2012 AR - Solar'!L59</f>
        <v>200</v>
      </c>
      <c r="D20" s="271">
        <f>'2012 AR - Solar'!L94</f>
        <v>75.519368477158977</v>
      </c>
      <c r="E20" s="272">
        <f>'2012 AR - Solar'!L130</f>
        <v>340</v>
      </c>
      <c r="F20" s="271">
        <f>'2012 AR - Solar'!L165</f>
        <v>79.333769114555054</v>
      </c>
      <c r="G20" s="273">
        <f>'2012 AR - Solar'!L201</f>
        <v>18</v>
      </c>
    </row>
    <row r="21" spans="1:8">
      <c r="A21" s="269">
        <v>2015</v>
      </c>
      <c r="B21" s="270">
        <v>0</v>
      </c>
      <c r="C21" s="271">
        <v>0</v>
      </c>
      <c r="D21" s="271">
        <v>0</v>
      </c>
      <c r="E21" s="272">
        <v>0</v>
      </c>
      <c r="F21" s="271">
        <v>0</v>
      </c>
      <c r="G21" s="273">
        <v>0</v>
      </c>
    </row>
    <row r="22" spans="1:8">
      <c r="A22" s="269">
        <v>2016</v>
      </c>
      <c r="B22" s="270">
        <v>0</v>
      </c>
      <c r="C22" s="271">
        <v>0</v>
      </c>
      <c r="D22" s="271">
        <v>0</v>
      </c>
      <c r="E22" s="272">
        <v>0</v>
      </c>
      <c r="F22" s="271">
        <v>0</v>
      </c>
      <c r="G22" s="273">
        <v>0</v>
      </c>
    </row>
    <row r="23" spans="1:8">
      <c r="A23" s="269">
        <v>2017</v>
      </c>
      <c r="B23" s="270">
        <v>0</v>
      </c>
      <c r="C23" s="271">
        <v>0</v>
      </c>
      <c r="D23" s="271">
        <v>0</v>
      </c>
      <c r="E23" s="272">
        <v>0</v>
      </c>
      <c r="F23" s="271">
        <v>0</v>
      </c>
      <c r="G23" s="273">
        <v>0</v>
      </c>
    </row>
    <row r="24" spans="1:8">
      <c r="A24" s="269">
        <v>2018</v>
      </c>
      <c r="B24" s="270">
        <v>0</v>
      </c>
      <c r="C24" s="271">
        <v>0</v>
      </c>
      <c r="D24" s="271">
        <v>0</v>
      </c>
      <c r="E24" s="272">
        <v>0</v>
      </c>
      <c r="F24" s="271">
        <v>0</v>
      </c>
      <c r="G24" s="273">
        <v>0</v>
      </c>
    </row>
    <row r="25" spans="1:8">
      <c r="A25" s="269">
        <v>2019</v>
      </c>
      <c r="B25" s="270">
        <v>0</v>
      </c>
      <c r="C25" s="271">
        <v>0</v>
      </c>
      <c r="D25" s="271">
        <v>0</v>
      </c>
      <c r="E25" s="272">
        <v>0</v>
      </c>
      <c r="F25" s="271">
        <v>0</v>
      </c>
      <c r="G25" s="273">
        <v>0</v>
      </c>
    </row>
    <row r="26" spans="1:8" ht="12" thickBot="1">
      <c r="A26" s="274" t="s">
        <v>52</v>
      </c>
      <c r="B26" s="275">
        <f>SUM(B16:B25)</f>
        <v>19414.309743444835</v>
      </c>
      <c r="C26" s="276">
        <f t="shared" ref="C26:G26" si="1">SUM(C16:C25)</f>
        <v>800</v>
      </c>
      <c r="D26" s="276">
        <f t="shared" si="1"/>
        <v>232.70037648191527</v>
      </c>
      <c r="E26" s="276">
        <f t="shared" si="1"/>
        <v>1360</v>
      </c>
      <c r="F26" s="276">
        <f t="shared" si="1"/>
        <v>280.70928553452268</v>
      </c>
      <c r="G26" s="277">
        <f t="shared" si="1"/>
        <v>79</v>
      </c>
    </row>
    <row r="27" spans="1:8" ht="12" customHeight="1" thickTop="1">
      <c r="A27" s="269"/>
      <c r="B27" s="278"/>
      <c r="C27" s="279"/>
      <c r="D27" s="280"/>
      <c r="E27" s="279"/>
      <c r="F27" s="279"/>
      <c r="G27" s="281"/>
    </row>
    <row r="28" spans="1:8">
      <c r="A28" s="255" t="s">
        <v>113</v>
      </c>
      <c r="B28" s="282">
        <v>-15706</v>
      </c>
      <c r="C28" s="283">
        <v>-3451</v>
      </c>
      <c r="D28" s="283">
        <v>-977</v>
      </c>
      <c r="E28" s="283">
        <v>-8093</v>
      </c>
      <c r="F28" s="283">
        <v>-4491</v>
      </c>
      <c r="G28" s="284">
        <v>-5012</v>
      </c>
      <c r="H28" s="285"/>
    </row>
    <row r="29" spans="1:8">
      <c r="A29" s="262" t="s">
        <v>114</v>
      </c>
      <c r="B29" s="286">
        <f t="shared" ref="B29:G29" si="2">+B28*B14</f>
        <v>-926.29458567652728</v>
      </c>
      <c r="C29" s="287">
        <f t="shared" si="2"/>
        <v>-487.45374999999996</v>
      </c>
      <c r="D29" s="287">
        <f t="shared" si="2"/>
        <v>-92.367706167722702</v>
      </c>
      <c r="E29" s="287">
        <f t="shared" si="2"/>
        <v>-1338.9154411764705</v>
      </c>
      <c r="F29" s="287">
        <f t="shared" si="2"/>
        <v>-1055.9180450179547</v>
      </c>
      <c r="G29" s="288">
        <f t="shared" si="2"/>
        <v>0</v>
      </c>
    </row>
    <row r="30" spans="1:8" ht="12" thickBot="1">
      <c r="B30" s="289"/>
      <c r="C30" s="272"/>
      <c r="D30" s="272"/>
      <c r="E30" s="272"/>
      <c r="F30" s="272"/>
      <c r="G30" s="268"/>
    </row>
    <row r="31" spans="1:8" s="290" customFormat="1" ht="34.5" thickBot="1">
      <c r="A31" s="298" t="s">
        <v>49</v>
      </c>
      <c r="B31" s="299">
        <f t="shared" ref="B31:E31" si="3">B29*B34/(1-(1+B34)^-B33)</f>
        <v>-87.164254234644289</v>
      </c>
      <c r="C31" s="300">
        <f t="shared" si="3"/>
        <v>-45.869362997084629</v>
      </c>
      <c r="D31" s="300">
        <f t="shared" si="3"/>
        <v>-8.6917945413597213</v>
      </c>
      <c r="E31" s="300">
        <f t="shared" si="3"/>
        <v>-125.99184721365924</v>
      </c>
      <c r="F31" s="300">
        <f>F29*F34/(1-(1+F34)^-F33)</f>
        <v>-99.361812483954679</v>
      </c>
      <c r="G31" s="301">
        <f>G29*G34/(1-(1+G34)^-G33)</f>
        <v>0</v>
      </c>
    </row>
    <row r="33" spans="1:8" s="292" customFormat="1" ht="12" customHeight="1">
      <c r="A33" s="291" t="s">
        <v>109</v>
      </c>
      <c r="B33" s="292">
        <v>34</v>
      </c>
      <c r="C33" s="292">
        <v>34</v>
      </c>
      <c r="D33" s="292">
        <v>34</v>
      </c>
      <c r="E33" s="292">
        <v>34</v>
      </c>
      <c r="F33" s="292">
        <v>34</v>
      </c>
      <c r="G33" s="292">
        <v>34</v>
      </c>
      <c r="H33" s="293"/>
    </row>
    <row r="34" spans="1:8">
      <c r="A34" s="262" t="s">
        <v>111</v>
      </c>
      <c r="B34" s="294">
        <f>B37</f>
        <v>8.8900000000000007E-2</v>
      </c>
      <c r="C34" s="294">
        <f>B37</f>
        <v>8.8900000000000007E-2</v>
      </c>
      <c r="D34" s="294">
        <f>B37</f>
        <v>8.8900000000000007E-2</v>
      </c>
      <c r="E34" s="294">
        <f>B37</f>
        <v>8.8900000000000007E-2</v>
      </c>
      <c r="F34" s="294">
        <f>B37</f>
        <v>8.8900000000000007E-2</v>
      </c>
      <c r="G34" s="294">
        <f>B37</f>
        <v>8.8900000000000007E-2</v>
      </c>
    </row>
    <row r="36" spans="1:8">
      <c r="A36" s="295" t="s">
        <v>107</v>
      </c>
    </row>
    <row r="37" spans="1:8">
      <c r="A37" s="296" t="s">
        <v>108</v>
      </c>
      <c r="B37" s="297">
        <v>8.8900000000000007E-2</v>
      </c>
    </row>
  </sheetData>
  <mergeCells count="1">
    <mergeCell ref="B11:G11"/>
  </mergeCells>
  <printOptions horizontalCentered="1"/>
  <pageMargins left="0" right="0" top="0" bottom="0" header="0" footer="0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Normal="100" workbookViewId="0">
      <selection activeCell="A7" sqref="A7"/>
    </sheetView>
  </sheetViews>
  <sheetFormatPr defaultRowHeight="15"/>
  <cols>
    <col min="1" max="1" width="42.5703125" style="190" customWidth="1"/>
    <col min="2" max="2" width="17.5703125" style="189" bestFit="1" customWidth="1"/>
    <col min="3" max="3" width="9.140625" style="190"/>
    <col min="4" max="4" width="17.42578125" style="190" customWidth="1"/>
    <col min="5" max="16384" width="9.140625" style="190"/>
  </cols>
  <sheetData>
    <row r="1" spans="1:12" s="318" customFormat="1">
      <c r="A1" s="318" t="s">
        <v>20</v>
      </c>
      <c r="B1" s="319"/>
    </row>
    <row r="2" spans="1:12" s="318" customFormat="1">
      <c r="A2" s="318" t="s">
        <v>120</v>
      </c>
      <c r="B2" s="319"/>
    </row>
    <row r="3" spans="1:12" s="318" customFormat="1">
      <c r="A3" s="318" t="s">
        <v>121</v>
      </c>
      <c r="B3" s="319"/>
    </row>
    <row r="4" spans="1:12" s="318" customFormat="1">
      <c r="A4" s="318" t="s">
        <v>122</v>
      </c>
      <c r="B4" s="319"/>
    </row>
    <row r="5" spans="1:12" s="318" customFormat="1">
      <c r="A5" s="318" t="s">
        <v>123</v>
      </c>
      <c r="B5" s="319"/>
    </row>
    <row r="6" spans="1:12" s="318" customFormat="1">
      <c r="A6" s="318" t="s">
        <v>125</v>
      </c>
      <c r="B6" s="319"/>
    </row>
    <row r="7" spans="1:12" s="318" customFormat="1">
      <c r="B7" s="319"/>
    </row>
    <row r="8" spans="1:12" ht="15.75" thickBot="1">
      <c r="A8" s="188" t="s">
        <v>90</v>
      </c>
    </row>
    <row r="9" spans="1:12">
      <c r="A9" s="311" t="s">
        <v>91</v>
      </c>
      <c r="B9" s="191">
        <v>2012</v>
      </c>
    </row>
    <row r="10" spans="1:12">
      <c r="A10" s="312"/>
      <c r="B10" s="192" t="s">
        <v>92</v>
      </c>
    </row>
    <row r="11" spans="1:12">
      <c r="A11" s="196" t="s">
        <v>93</v>
      </c>
      <c r="B11" s="194">
        <v>1580151.59</v>
      </c>
      <c r="D11" s="195"/>
      <c r="K11" s="216"/>
      <c r="L11" s="216"/>
    </row>
    <row r="12" spans="1:12">
      <c r="A12" s="193" t="s">
        <v>51</v>
      </c>
      <c r="B12" s="194">
        <v>429673.32000000007</v>
      </c>
      <c r="D12" s="195"/>
      <c r="K12" s="216"/>
      <c r="L12" s="216"/>
    </row>
    <row r="13" spans="1:12">
      <c r="A13" s="193" t="s">
        <v>50</v>
      </c>
      <c r="B13" s="194">
        <v>392077.54999999993</v>
      </c>
      <c r="D13" s="195"/>
    </row>
    <row r="14" spans="1:12">
      <c r="A14" s="193" t="s">
        <v>78</v>
      </c>
      <c r="B14" s="194">
        <v>3415008.8899999997</v>
      </c>
      <c r="D14" s="195"/>
    </row>
    <row r="15" spans="1:12">
      <c r="A15" s="193" t="s">
        <v>94</v>
      </c>
      <c r="B15" s="194">
        <v>2579368.8000000003</v>
      </c>
      <c r="D15" s="195"/>
    </row>
    <row r="16" spans="1:12">
      <c r="A16" s="193" t="s">
        <v>95</v>
      </c>
      <c r="B16" s="194">
        <v>153284.94</v>
      </c>
      <c r="D16" s="195"/>
    </row>
    <row r="17" spans="1:4" ht="15.75" thickBot="1">
      <c r="A17" s="248" t="s">
        <v>96</v>
      </c>
      <c r="B17" s="249">
        <v>537873.55000000005</v>
      </c>
      <c r="D17" s="195"/>
    </row>
    <row r="18" spans="1:4">
      <c r="A18" s="197"/>
    </row>
  </sheetData>
  <mergeCells count="1">
    <mergeCell ref="A9:A10"/>
  </mergeCells>
  <printOptions horizontalCentered="1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954DA997A5CA43947A9E4003D7D9F9" ma:contentTypeVersion="0" ma:contentTypeDescription="Create a new document." ma:contentTypeScope="" ma:versionID="e5df6e5670a5ac89194fe3532eb358d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585BE8-5F73-4DD4-B7E0-1D8FD800DD30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CE31C9-A910-467D-96E9-DE4E034970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0B009EC-80C3-4FE9-9846-A0D5886371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2012 AR - Solar</vt:lpstr>
      <vt:lpstr>2012 Actuals</vt:lpstr>
      <vt:lpstr>NPV 2012</vt:lpstr>
      <vt:lpstr>2012 ECCR Cost</vt:lpstr>
      <vt:lpstr>'2012 AR - Solar'!Print_Area</vt:lpstr>
      <vt:lpstr>'2012 Actuals'!Print_Titles</vt:lpstr>
      <vt:lpstr>'2012 AR - Solar'!Print_Titles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Priscilla Richardson</dc:creator>
  <cp:lastModifiedBy>FPL_User</cp:lastModifiedBy>
  <cp:lastPrinted>2014-05-19T10:59:32Z</cp:lastPrinted>
  <dcterms:created xsi:type="dcterms:W3CDTF">2012-02-10T03:13:18Z</dcterms:created>
  <dcterms:modified xsi:type="dcterms:W3CDTF">2014-05-19T10:59:34Z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0x01010033954DA997A5CA43947A9E4003D7D9F9</vt:lpwstr>
  </property>
</Properties>
</file>