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405" yWindow="-270" windowWidth="11355" windowHeight="11640" tabRatio="599" activeTab="3"/>
  </bookViews>
  <sheets>
    <sheet name="FPC wSEB" sheetId="1" r:id="rId1"/>
    <sheet name="SEB" sheetId="2" r:id="rId2"/>
    <sheet name="FPCwoSEB" sheetId="3" state="hidden" r:id="rId3"/>
    <sheet name="Annual" sheetId="5" r:id="rId4"/>
  </sheets>
  <externalReferences>
    <externalReference r:id="rId5"/>
    <externalReference r:id="rId6"/>
    <externalReference r:id="rId7"/>
  </externalReferences>
  <definedNames>
    <definedName name="__123Graph_A" hidden="1">'FPC wSEB'!$D$280:$D$430</definedName>
    <definedName name="__123Graph_ACUPC" hidden="1">'FPC wSEB'!#REF!</definedName>
    <definedName name="__123Graph_ANPHOSIND" hidden="1">'FPC wSEB'!$H$114:$H$251</definedName>
    <definedName name="__123Graph_APHOS" hidden="1">'FPC wSEB'!$G$114:$G$257</definedName>
    <definedName name="__123Graph_ARUPC" hidden="1">'FPC wSEB'!#REF!</definedName>
    <definedName name="__123Graph_X" hidden="1">'FPC wSEB'!$C$280:$C$430</definedName>
    <definedName name="__123Graph_XCUPC" hidden="1">'FPC wSEB'!#REF!</definedName>
    <definedName name="__123Graph_XNPHOSIND" hidden="1">'FPC wSEB'!#REF!</definedName>
    <definedName name="__123Graph_XPHOS" hidden="1">'FPC wSEB'!#REF!</definedName>
    <definedName name="__123Graph_XRUPC" hidden="1">'FPC wSEB'!#REF!</definedName>
    <definedName name="GRAPH1">#REF!</definedName>
    <definedName name="GRAPH10">#REF!</definedName>
    <definedName name="GRAPH2">#REF!</definedName>
    <definedName name="GRAPH3">#REF!</definedName>
    <definedName name="GRAPH4">#REF!</definedName>
    <definedName name="GRAPH5">#REF!</definedName>
    <definedName name="GRAPH6">#REF!</definedName>
    <definedName name="GRAPH7">#REF!</definedName>
    <definedName name="GRAPH8">#REF!</definedName>
    <definedName name="GRAPH9">#REF!</definedName>
    <definedName name="_xlnm.Print_Area" localSheetId="0">'FPC wSEB'!$E$3:$F$3</definedName>
    <definedName name="_xlnm.Print_Area" localSheetId="2">FPCwoSEB!$U$258:$AD$269</definedName>
    <definedName name="_xlnm.Print_Area" localSheetId="1">SEB!$A$258:$J$261</definedName>
  </definedNames>
  <calcPr calcId="145621"/>
</workbook>
</file>

<file path=xl/calcChain.xml><?xml version="1.0" encoding="utf-8"?>
<calcChain xmlns="http://schemas.openxmlformats.org/spreadsheetml/2006/main">
  <c r="N492" i="2"/>
  <c r="AH45" i="5" l="1"/>
  <c r="AH44"/>
  <c r="AH43"/>
  <c r="AH42"/>
  <c r="C471" i="2" l="1"/>
  <c r="C472"/>
  <c r="C473"/>
  <c r="A45" i="5" l="1"/>
  <c r="U45"/>
  <c r="X45"/>
  <c r="Y45"/>
  <c r="Z45"/>
  <c r="AA45"/>
  <c r="AB45"/>
  <c r="AC45"/>
  <c r="AD45"/>
  <c r="Q529" i="2"/>
  <c r="R529"/>
  <c r="S529"/>
  <c r="T529"/>
  <c r="U529"/>
  <c r="D529"/>
  <c r="E529"/>
  <c r="F529"/>
  <c r="G529"/>
  <c r="I529"/>
  <c r="J529"/>
  <c r="H473"/>
  <c r="AF45" i="5" l="1"/>
  <c r="AE473" i="1"/>
  <c r="AF473" l="1"/>
  <c r="W473"/>
  <c r="H472" i="2"/>
  <c r="AE472" i="1" l="1"/>
  <c r="AF472"/>
  <c r="W472"/>
  <c r="C470" i="2"/>
  <c r="H470"/>
  <c r="H471"/>
  <c r="P472"/>
  <c r="P473"/>
  <c r="P470"/>
  <c r="P471"/>
  <c r="AE471" i="1" l="1"/>
  <c r="AF471" l="1"/>
  <c r="AE470" l="1"/>
  <c r="AF470"/>
  <c r="W470"/>
  <c r="P469" i="2" l="1"/>
  <c r="H469"/>
  <c r="C468"/>
  <c r="C469"/>
  <c r="P468"/>
  <c r="H468"/>
  <c r="W469" i="1" l="1"/>
  <c r="AE469"/>
  <c r="AF469"/>
  <c r="AF468"/>
  <c r="AE468"/>
  <c r="W468"/>
  <c r="P467" i="2"/>
  <c r="C467"/>
  <c r="H467"/>
  <c r="P466"/>
  <c r="H466"/>
  <c r="C466"/>
  <c r="AE467" i="1" l="1"/>
  <c r="W467"/>
  <c r="AF467"/>
  <c r="AE466" l="1"/>
  <c r="AF466" l="1"/>
  <c r="H464" i="2" l="1"/>
  <c r="H465"/>
  <c r="H463"/>
  <c r="P464"/>
  <c r="P465"/>
  <c r="C465"/>
  <c r="C464"/>
  <c r="AE465" i="1" l="1"/>
  <c r="AF465"/>
  <c r="W465"/>
  <c r="H462" i="2" l="1"/>
  <c r="H529" s="1"/>
  <c r="C462"/>
  <c r="P462"/>
  <c r="P463"/>
  <c r="C463"/>
  <c r="C529" l="1"/>
  <c r="P529"/>
  <c r="AE464" i="1"/>
  <c r="AF464"/>
  <c r="AF463" l="1"/>
  <c r="AE463"/>
  <c r="AI45" i="5" l="1"/>
  <c r="AD44" l="1"/>
  <c r="AC44"/>
  <c r="AB44"/>
  <c r="AA44"/>
  <c r="Z44"/>
  <c r="Y44"/>
  <c r="X44"/>
  <c r="S528" i="2"/>
  <c r="T528"/>
  <c r="G528"/>
  <c r="H461"/>
  <c r="AF44" i="5" l="1"/>
  <c r="AG45" s="1"/>
  <c r="AE462" i="1"/>
  <c r="AF462"/>
  <c r="AI44" i="5"/>
  <c r="C463" i="1"/>
  <c r="C464"/>
  <c r="C465"/>
  <c r="C466"/>
  <c r="C467"/>
  <c r="C468"/>
  <c r="C469"/>
  <c r="C470"/>
  <c r="C471"/>
  <c r="C472"/>
  <c r="C473"/>
  <c r="W471"/>
  <c r="W466"/>
  <c r="W464"/>
  <c r="W463"/>
  <c r="W462"/>
  <c r="C462"/>
  <c r="G461"/>
  <c r="AF461"/>
  <c r="AE461"/>
  <c r="C461" l="1"/>
  <c r="H461"/>
  <c r="W461"/>
  <c r="U460" i="2" l="1"/>
  <c r="R460"/>
  <c r="Q460"/>
  <c r="J460"/>
  <c r="H460"/>
  <c r="E460"/>
  <c r="D460"/>
  <c r="N461" i="1"/>
  <c r="O461" s="1"/>
  <c r="Q461" s="1"/>
  <c r="S461" l="1"/>
  <c r="C460"/>
  <c r="G460"/>
  <c r="AF460"/>
  <c r="AE460"/>
  <c r="H458" i="2"/>
  <c r="H459"/>
  <c r="H460" i="1" l="1"/>
  <c r="W460"/>
  <c r="G459" l="1"/>
  <c r="AE459" l="1"/>
  <c r="N460"/>
  <c r="O460" s="1"/>
  <c r="Q460" s="1"/>
  <c r="AF459"/>
  <c r="H459"/>
  <c r="C459"/>
  <c r="W459"/>
  <c r="S460" l="1"/>
  <c r="G458"/>
  <c r="H457" i="2"/>
  <c r="N459" i="1" l="1"/>
  <c r="O459" s="1"/>
  <c r="H458"/>
  <c r="AE458"/>
  <c r="N458"/>
  <c r="C458"/>
  <c r="AF458"/>
  <c r="W458"/>
  <c r="O458" l="1"/>
  <c r="G457"/>
  <c r="H456" i="2"/>
  <c r="AE457" i="1" l="1"/>
  <c r="H457"/>
  <c r="AF457"/>
  <c r="W457"/>
  <c r="C457"/>
  <c r="N457"/>
  <c r="G456"/>
  <c r="AE456"/>
  <c r="H455" i="2"/>
  <c r="N456" i="1"/>
  <c r="G455"/>
  <c r="N455"/>
  <c r="G454"/>
  <c r="H454" l="1"/>
  <c r="AF456"/>
  <c r="O457"/>
  <c r="H456"/>
  <c r="C456"/>
  <c r="W456"/>
  <c r="AE455"/>
  <c r="AF455"/>
  <c r="W455"/>
  <c r="H455"/>
  <c r="W454"/>
  <c r="C455"/>
  <c r="AF454"/>
  <c r="AE454"/>
  <c r="C454"/>
  <c r="U454" i="2"/>
  <c r="R454"/>
  <c r="Q454"/>
  <c r="J454"/>
  <c r="I454"/>
  <c r="F454"/>
  <c r="H454" s="1"/>
  <c r="E454"/>
  <c r="D454"/>
  <c r="U453"/>
  <c r="R453"/>
  <c r="Q453"/>
  <c r="J453"/>
  <c r="I453"/>
  <c r="F453"/>
  <c r="H453" s="1"/>
  <c r="E453"/>
  <c r="D453"/>
  <c r="O456" i="1" l="1"/>
  <c r="O455"/>
  <c r="N454"/>
  <c r="G453"/>
  <c r="U452" i="2"/>
  <c r="R452"/>
  <c r="Q452"/>
  <c r="J452"/>
  <c r="F452"/>
  <c r="H452" s="1"/>
  <c r="E452"/>
  <c r="D452"/>
  <c r="G452" i="1"/>
  <c r="O454" l="1"/>
  <c r="W453"/>
  <c r="H453"/>
  <c r="AF453"/>
  <c r="AE453"/>
  <c r="C453"/>
  <c r="N453"/>
  <c r="AE452"/>
  <c r="H452"/>
  <c r="AF452"/>
  <c r="C452"/>
  <c r="W452"/>
  <c r="G527" i="2"/>
  <c r="R450"/>
  <c r="Q450"/>
  <c r="J450"/>
  <c r="F450"/>
  <c r="E450"/>
  <c r="D450"/>
  <c r="U451"/>
  <c r="U528" s="1"/>
  <c r="R451"/>
  <c r="Q451"/>
  <c r="J451"/>
  <c r="I451"/>
  <c r="I528" s="1"/>
  <c r="F451"/>
  <c r="H451" s="1"/>
  <c r="E451"/>
  <c r="D451"/>
  <c r="AE451" i="1"/>
  <c r="N452"/>
  <c r="G451"/>
  <c r="Q528" i="2" l="1"/>
  <c r="AE45" i="5"/>
  <c r="F528" i="2"/>
  <c r="H450"/>
  <c r="H528" s="1"/>
  <c r="D528"/>
  <c r="E528"/>
  <c r="J528"/>
  <c r="R528"/>
  <c r="O453" i="1"/>
  <c r="H451"/>
  <c r="O452"/>
  <c r="C451"/>
  <c r="W451"/>
  <c r="W45" i="5" s="1"/>
  <c r="AF451" i="1"/>
  <c r="G450" l="1"/>
  <c r="P451" i="2" l="1"/>
  <c r="P452"/>
  <c r="P453"/>
  <c r="P454"/>
  <c r="P455"/>
  <c r="P456"/>
  <c r="P457"/>
  <c r="P458"/>
  <c r="P459"/>
  <c r="P460"/>
  <c r="P461"/>
  <c r="C451"/>
  <c r="C452"/>
  <c r="C453"/>
  <c r="C454"/>
  <c r="C455"/>
  <c r="C456"/>
  <c r="C457"/>
  <c r="C458"/>
  <c r="C459"/>
  <c r="C460"/>
  <c r="C461"/>
  <c r="N451" i="1" l="1"/>
  <c r="O451" s="1"/>
  <c r="H449" i="2"/>
  <c r="D449"/>
  <c r="AE450" i="1" l="1"/>
  <c r="AE44" i="5" s="1"/>
  <c r="W450" i="1"/>
  <c r="W44" i="5" s="1"/>
  <c r="H450" i="1"/>
  <c r="C450"/>
  <c r="AF450"/>
  <c r="N450"/>
  <c r="O450" l="1"/>
  <c r="H449"/>
  <c r="W449"/>
  <c r="AE449"/>
  <c r="C449"/>
  <c r="AF449"/>
  <c r="U448" i="2"/>
  <c r="R448"/>
  <c r="Q448"/>
  <c r="J448"/>
  <c r="I448"/>
  <c r="F448"/>
  <c r="H448" s="1"/>
  <c r="E448"/>
  <c r="D448"/>
  <c r="N449" i="1" l="1"/>
  <c r="O449" l="1"/>
  <c r="Q449" s="1"/>
  <c r="AE448"/>
  <c r="AF448"/>
  <c r="C448"/>
  <c r="H448"/>
  <c r="W448"/>
  <c r="S449" l="1"/>
  <c r="N448"/>
  <c r="O448" l="1"/>
  <c r="Q448" s="1"/>
  <c r="S448" s="1"/>
  <c r="C447"/>
  <c r="H447"/>
  <c r="W447"/>
  <c r="AE447"/>
  <c r="AF447"/>
  <c r="U447" i="2"/>
  <c r="R447"/>
  <c r="Q447"/>
  <c r="J447"/>
  <c r="I447"/>
  <c r="F447"/>
  <c r="H447" s="1"/>
  <c r="E447"/>
  <c r="D447"/>
  <c r="AF437" i="1" l="1"/>
  <c r="AF436"/>
  <c r="AF435"/>
  <c r="AF434"/>
  <c r="AF433"/>
  <c r="AF432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400"/>
  <c r="AF399"/>
  <c r="AF398"/>
  <c r="AF397"/>
  <c r="AF396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64"/>
  <c r="AF363"/>
  <c r="AF362"/>
  <c r="AF361"/>
  <c r="AF360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AF328"/>
  <c r="AF327"/>
  <c r="AF326"/>
  <c r="AF325"/>
  <c r="AF324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92"/>
  <c r="AF291"/>
  <c r="AF290"/>
  <c r="AF289"/>
  <c r="AF288"/>
  <c r="AF287"/>
  <c r="AF286"/>
  <c r="AF285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3"/>
  <c r="AF262"/>
  <c r="AF261"/>
  <c r="AF260"/>
  <c r="AF259"/>
  <c r="AF258"/>
  <c r="AF257"/>
  <c r="AF256"/>
  <c r="AF255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21"/>
  <c r="AF220"/>
  <c r="AF219"/>
  <c r="AF218"/>
  <c r="AF217"/>
  <c r="AF216"/>
  <c r="AF215"/>
  <c r="AF214"/>
  <c r="AF213"/>
  <c r="AF212"/>
  <c r="AF211"/>
  <c r="AF210"/>
  <c r="AF209"/>
  <c r="AF208"/>
  <c r="AF207"/>
  <c r="AF206"/>
  <c r="AF205"/>
  <c r="AF204"/>
  <c r="AF203"/>
  <c r="AF202"/>
  <c r="AF201"/>
  <c r="AF200"/>
  <c r="AF199"/>
  <c r="AF198"/>
  <c r="AF197"/>
  <c r="AF196"/>
  <c r="AF195"/>
  <c r="AF194"/>
  <c r="AF193"/>
  <c r="AF192"/>
  <c r="AF191"/>
  <c r="AF190"/>
  <c r="AF189"/>
  <c r="AF188"/>
  <c r="AF187"/>
  <c r="AF186"/>
  <c r="AF185"/>
  <c r="AF184"/>
  <c r="AF183"/>
  <c r="AF182"/>
  <c r="AF181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51"/>
  <c r="AF150"/>
  <c r="AF149"/>
  <c r="AF148"/>
  <c r="AF147"/>
  <c r="AF146"/>
  <c r="AF145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U446" i="2"/>
  <c r="R446"/>
  <c r="Q446"/>
  <c r="C447"/>
  <c r="C448"/>
  <c r="C449"/>
  <c r="C450"/>
  <c r="C528" s="1"/>
  <c r="J446"/>
  <c r="I446"/>
  <c r="F446"/>
  <c r="H446" s="1"/>
  <c r="E446"/>
  <c r="D446"/>
  <c r="C446" l="1"/>
  <c r="N447" i="1"/>
  <c r="O447" s="1"/>
  <c r="Q447" s="1"/>
  <c r="S447" l="1"/>
  <c r="W446"/>
  <c r="AE446"/>
  <c r="AF446"/>
  <c r="H446"/>
  <c r="C446"/>
  <c r="U445" i="2"/>
  <c r="R445"/>
  <c r="Q445"/>
  <c r="J445"/>
  <c r="F445"/>
  <c r="H445" s="1"/>
  <c r="E445"/>
  <c r="D445"/>
  <c r="C445" l="1"/>
  <c r="H445" i="1"/>
  <c r="AF445"/>
  <c r="N446"/>
  <c r="O446" s="1"/>
  <c r="Q446" s="1"/>
  <c r="S446" l="1"/>
  <c r="C445"/>
  <c r="W445"/>
  <c r="AE445"/>
  <c r="N445" l="1"/>
  <c r="O445" s="1"/>
  <c r="Q445" s="1"/>
  <c r="U444" i="2"/>
  <c r="R444"/>
  <c r="Q444"/>
  <c r="J444"/>
  <c r="F444"/>
  <c r="H444" s="1"/>
  <c r="E444"/>
  <c r="D444"/>
  <c r="C444" l="1"/>
  <c r="Z43" i="5"/>
  <c r="AA43"/>
  <c r="AB43"/>
  <c r="AC43"/>
  <c r="AD43"/>
  <c r="AF444" i="1"/>
  <c r="S445"/>
  <c r="H444"/>
  <c r="AE444"/>
  <c r="N444"/>
  <c r="U443" i="2"/>
  <c r="R443"/>
  <c r="Q443"/>
  <c r="D443"/>
  <c r="J443"/>
  <c r="F443"/>
  <c r="E443"/>
  <c r="C443" l="1"/>
  <c r="H443"/>
  <c r="Y43" i="5"/>
  <c r="AF443" i="1"/>
  <c r="C443"/>
  <c r="W443"/>
  <c r="AE443"/>
  <c r="W444"/>
  <c r="C444"/>
  <c r="H443"/>
  <c r="O444" l="1"/>
  <c r="Q444" s="1"/>
  <c r="S444" s="1"/>
  <c r="U442" i="2"/>
  <c r="R442"/>
  <c r="Q442"/>
  <c r="J442"/>
  <c r="I442"/>
  <c r="F442"/>
  <c r="H442" s="1"/>
  <c r="E442"/>
  <c r="D442"/>
  <c r="C442" l="1"/>
  <c r="N443" i="1"/>
  <c r="O443" s="1"/>
  <c r="Q443" s="1"/>
  <c r="H442"/>
  <c r="AF442" l="1"/>
  <c r="S443"/>
  <c r="AE442"/>
  <c r="C442"/>
  <c r="W442"/>
  <c r="U441" i="2" l="1"/>
  <c r="T441"/>
  <c r="S441"/>
  <c r="R441"/>
  <c r="Q441"/>
  <c r="J441"/>
  <c r="I441"/>
  <c r="F441"/>
  <c r="H441" s="1"/>
  <c r="E441"/>
  <c r="D441"/>
  <c r="N442" i="1"/>
  <c r="O442" s="1"/>
  <c r="Q442" s="1"/>
  <c r="C441" i="2" l="1"/>
  <c r="AF441" i="1"/>
  <c r="S442"/>
  <c r="H441"/>
  <c r="AE441"/>
  <c r="C441"/>
  <c r="W441"/>
  <c r="U440" i="2" l="1"/>
  <c r="T440"/>
  <c r="T527" s="1"/>
  <c r="S440"/>
  <c r="R440"/>
  <c r="Q440"/>
  <c r="P441"/>
  <c r="P442"/>
  <c r="P443"/>
  <c r="P444"/>
  <c r="P445"/>
  <c r="P446"/>
  <c r="P447"/>
  <c r="P448"/>
  <c r="P449"/>
  <c r="P450"/>
  <c r="P528" s="1"/>
  <c r="J440"/>
  <c r="I440"/>
  <c r="F440"/>
  <c r="H440" s="1"/>
  <c r="E440"/>
  <c r="D440"/>
  <c r="N441" i="1"/>
  <c r="O441" s="1"/>
  <c r="Q441" s="1"/>
  <c r="C440" i="2" l="1"/>
  <c r="P440"/>
  <c r="AF440" i="1"/>
  <c r="S441"/>
  <c r="AE440"/>
  <c r="W440"/>
  <c r="C440"/>
  <c r="H440"/>
  <c r="U439" i="2" l="1"/>
  <c r="R439"/>
  <c r="Q439"/>
  <c r="J439"/>
  <c r="F439"/>
  <c r="H439" s="1"/>
  <c r="E439"/>
  <c r="D439"/>
  <c r="C439" l="1"/>
  <c r="P439"/>
  <c r="AE439" i="1" l="1"/>
  <c r="N440"/>
  <c r="O440" s="1"/>
  <c r="Q440" s="1"/>
  <c r="AF439" l="1"/>
  <c r="S440"/>
  <c r="C439"/>
  <c r="W439"/>
  <c r="H439"/>
  <c r="AI43" i="5"/>
  <c r="S526" i="2" l="1"/>
  <c r="T526"/>
  <c r="G525"/>
  <c r="G526"/>
  <c r="U438"/>
  <c r="U527" s="1"/>
  <c r="S438"/>
  <c r="S527" s="1"/>
  <c r="R438"/>
  <c r="R527" s="1"/>
  <c r="Q438"/>
  <c r="Q527" s="1"/>
  <c r="D438"/>
  <c r="D527" s="1"/>
  <c r="J438"/>
  <c r="I438"/>
  <c r="I527" s="1"/>
  <c r="F438"/>
  <c r="F527" s="1"/>
  <c r="E438"/>
  <c r="E527" s="1"/>
  <c r="P438" l="1"/>
  <c r="P527" s="1"/>
  <c r="C438"/>
  <c r="C527" s="1"/>
  <c r="J527"/>
  <c r="H438"/>
  <c r="H527" s="1"/>
  <c r="X43" i="5" l="1"/>
  <c r="AF43" s="1"/>
  <c r="AG44" s="1"/>
  <c r="N439" i="1"/>
  <c r="AF438"/>
  <c r="N438"/>
  <c r="AE438"/>
  <c r="AE43" i="5" s="1"/>
  <c r="W438" i="1"/>
  <c r="W43" i="5" s="1"/>
  <c r="H438" i="1"/>
  <c r="C438"/>
  <c r="O439" l="1"/>
  <c r="Q439" s="1"/>
  <c r="O438"/>
  <c r="S439" l="1"/>
  <c r="Q438"/>
  <c r="U437" i="2"/>
  <c r="R437"/>
  <c r="Q437"/>
  <c r="D437"/>
  <c r="E437"/>
  <c r="J437"/>
  <c r="F437"/>
  <c r="H437" s="1"/>
  <c r="W437" i="1"/>
  <c r="AE437"/>
  <c r="P437" i="2" l="1"/>
  <c r="S438" i="1"/>
  <c r="H437"/>
  <c r="C437"/>
  <c r="U436" i="2"/>
  <c r="R436"/>
  <c r="Q436"/>
  <c r="D436"/>
  <c r="J436"/>
  <c r="F436"/>
  <c r="H436" s="1"/>
  <c r="E436"/>
  <c r="C437"/>
  <c r="P436" l="1"/>
  <c r="C436"/>
  <c r="N437" i="1"/>
  <c r="H436"/>
  <c r="O437" l="1"/>
  <c r="Q437" s="1"/>
  <c r="S437" s="1"/>
  <c r="C436"/>
  <c r="W436"/>
  <c r="AE436"/>
  <c r="U435" i="2" l="1"/>
  <c r="R435"/>
  <c r="Q435"/>
  <c r="J435"/>
  <c r="F435"/>
  <c r="H435" s="1"/>
  <c r="E435"/>
  <c r="D435"/>
  <c r="AA42" i="5"/>
  <c r="AD42"/>
  <c r="AC42"/>
  <c r="Z42"/>
  <c r="Y42"/>
  <c r="P435" i="2" l="1"/>
  <c r="C435"/>
  <c r="AB42" i="5"/>
  <c r="N436" i="1"/>
  <c r="AE435"/>
  <c r="N435"/>
  <c r="C435"/>
  <c r="W435"/>
  <c r="U434" i="2"/>
  <c r="R434"/>
  <c r="Q434"/>
  <c r="J434"/>
  <c r="I434"/>
  <c r="F434"/>
  <c r="H434" s="1"/>
  <c r="E434"/>
  <c r="D434"/>
  <c r="P434" l="1"/>
  <c r="C434"/>
  <c r="O436" i="1"/>
  <c r="Q436" s="1"/>
  <c r="S436" s="1"/>
  <c r="O435"/>
  <c r="Q435" s="1"/>
  <c r="H434"/>
  <c r="U433" i="2"/>
  <c r="R433"/>
  <c r="Q433"/>
  <c r="E433"/>
  <c r="J433"/>
  <c r="F433"/>
  <c r="H433" s="1"/>
  <c r="D433"/>
  <c r="U432"/>
  <c r="R432"/>
  <c r="Q432"/>
  <c r="J432"/>
  <c r="F432"/>
  <c r="H432" s="1"/>
  <c r="E432"/>
  <c r="D432"/>
  <c r="P433" l="1"/>
  <c r="P432"/>
  <c r="C432"/>
  <c r="C433"/>
  <c r="S435" i="1"/>
  <c r="C434"/>
  <c r="W434"/>
  <c r="AE434"/>
  <c r="H433" l="1"/>
  <c r="N434" l="1"/>
  <c r="C433"/>
  <c r="AE433"/>
  <c r="W433"/>
  <c r="O434" l="1"/>
  <c r="Q434" s="1"/>
  <c r="S434" s="1"/>
  <c r="AE432" l="1"/>
  <c r="H432"/>
  <c r="X42" i="5" l="1"/>
  <c r="AF42" s="1"/>
  <c r="AG43" s="1"/>
  <c r="C432" i="1"/>
  <c r="N433"/>
  <c r="W432"/>
  <c r="O433" l="1"/>
  <c r="Q433" s="1"/>
  <c r="S433" s="1"/>
  <c r="U431" i="2"/>
  <c r="R431"/>
  <c r="Q431"/>
  <c r="D431"/>
  <c r="F431"/>
  <c r="H431" s="1"/>
  <c r="J431"/>
  <c r="E431"/>
  <c r="C431" l="1"/>
  <c r="P431"/>
  <c r="N432" i="1"/>
  <c r="O432" l="1"/>
  <c r="Q432" s="1"/>
  <c r="S432" s="1"/>
  <c r="H431"/>
  <c r="AE431"/>
  <c r="W431"/>
  <c r="C431"/>
  <c r="U430" i="2" l="1"/>
  <c r="R430"/>
  <c r="Q430"/>
  <c r="J430"/>
  <c r="F430"/>
  <c r="H430" s="1"/>
  <c r="E430"/>
  <c r="D430"/>
  <c r="U429"/>
  <c r="R429"/>
  <c r="Q429"/>
  <c r="F429"/>
  <c r="H429" s="1"/>
  <c r="E429"/>
  <c r="D429"/>
  <c r="T40" i="5"/>
  <c r="T39"/>
  <c r="T38"/>
  <c r="T37"/>
  <c r="T36"/>
  <c r="T35"/>
  <c r="T34"/>
  <c r="T33"/>
  <c r="T32"/>
  <c r="T31"/>
  <c r="T30"/>
  <c r="T29"/>
  <c r="T28"/>
  <c r="T27"/>
  <c r="T26"/>
  <c r="C429" i="2" l="1"/>
  <c r="P429"/>
  <c r="C430"/>
  <c r="N431" i="1"/>
  <c r="AE430"/>
  <c r="H430"/>
  <c r="P430" i="2"/>
  <c r="C430" i="1"/>
  <c r="W430"/>
  <c r="O431" l="1"/>
  <c r="Q431" s="1"/>
  <c r="S431" s="1"/>
  <c r="N430" l="1"/>
  <c r="U428" i="2"/>
  <c r="R428"/>
  <c r="Q428"/>
  <c r="J428"/>
  <c r="F428"/>
  <c r="H428" s="1"/>
  <c r="E428"/>
  <c r="D428"/>
  <c r="P428" l="1"/>
  <c r="O430" i="1"/>
  <c r="Q430" s="1"/>
  <c r="S430" s="1"/>
  <c r="H429"/>
  <c r="AE428"/>
  <c r="N429"/>
  <c r="AE429"/>
  <c r="W429"/>
  <c r="C429"/>
  <c r="H428"/>
  <c r="C428"/>
  <c r="W428"/>
  <c r="C428" i="2"/>
  <c r="O429" i="1" l="1"/>
  <c r="Q429" s="1"/>
  <c r="U426" i="2"/>
  <c r="R426"/>
  <c r="Q426"/>
  <c r="D426"/>
  <c r="J426"/>
  <c r="I426"/>
  <c r="I526" s="1"/>
  <c r="F426"/>
  <c r="H426" s="1"/>
  <c r="E426"/>
  <c r="U427"/>
  <c r="R427"/>
  <c r="Q427"/>
  <c r="J427"/>
  <c r="F427"/>
  <c r="H427" s="1"/>
  <c r="E427"/>
  <c r="D427"/>
  <c r="P427" l="1"/>
  <c r="C427"/>
  <c r="J526"/>
  <c r="U526"/>
  <c r="Q526"/>
  <c r="E526"/>
  <c r="H526"/>
  <c r="F526"/>
  <c r="D526"/>
  <c r="R526"/>
  <c r="S429" i="1"/>
  <c r="N428" l="1"/>
  <c r="H427"/>
  <c r="AE427"/>
  <c r="W427"/>
  <c r="C427"/>
  <c r="O428" l="1"/>
  <c r="Q428" s="1"/>
  <c r="S428" s="1"/>
  <c r="C426" i="2" l="1"/>
  <c r="C526" s="1"/>
  <c r="P426"/>
  <c r="P526" s="1"/>
  <c r="AE426" i="1" l="1"/>
  <c r="AE42" i="5" s="1"/>
  <c r="AH29"/>
  <c r="AH30"/>
  <c r="AH31"/>
  <c r="AH32"/>
  <c r="AH33"/>
  <c r="AH34"/>
  <c r="AH35"/>
  <c r="AH36"/>
  <c r="AH37"/>
  <c r="AH38"/>
  <c r="AH39"/>
  <c r="AH40"/>
  <c r="AH41"/>
  <c r="AH28"/>
  <c r="AD41"/>
  <c r="AC41"/>
  <c r="AB41"/>
  <c r="AA41"/>
  <c r="Z41"/>
  <c r="Y41"/>
  <c r="X41"/>
  <c r="AD40"/>
  <c r="AC40"/>
  <c r="AB40"/>
  <c r="AA40"/>
  <c r="Z40"/>
  <c r="Y40"/>
  <c r="X40"/>
  <c r="R40"/>
  <c r="P40"/>
  <c r="M40"/>
  <c r="L40"/>
  <c r="K40"/>
  <c r="J40"/>
  <c r="I40"/>
  <c r="G40"/>
  <c r="F40"/>
  <c r="E40"/>
  <c r="D40"/>
  <c r="AD39"/>
  <c r="AC39"/>
  <c r="AB39"/>
  <c r="AA39"/>
  <c r="Z39"/>
  <c r="Y39"/>
  <c r="X39"/>
  <c r="R39"/>
  <c r="P39"/>
  <c r="M39"/>
  <c r="L39"/>
  <c r="K39"/>
  <c r="J39"/>
  <c r="I39"/>
  <c r="G39"/>
  <c r="F39"/>
  <c r="D39"/>
  <c r="AD38"/>
  <c r="AC38"/>
  <c r="AB38"/>
  <c r="AA38"/>
  <c r="Z38"/>
  <c r="Y38"/>
  <c r="X38"/>
  <c r="R38"/>
  <c r="P38"/>
  <c r="M38"/>
  <c r="L38"/>
  <c r="K38"/>
  <c r="J38"/>
  <c r="I38"/>
  <c r="G38"/>
  <c r="F38"/>
  <c r="E38"/>
  <c r="D38"/>
  <c r="AD37"/>
  <c r="AC37"/>
  <c r="AB37"/>
  <c r="AA37"/>
  <c r="Z37"/>
  <c r="Y37"/>
  <c r="X37"/>
  <c r="R37"/>
  <c r="P37"/>
  <c r="M37"/>
  <c r="L37"/>
  <c r="K37"/>
  <c r="J37"/>
  <c r="I37"/>
  <c r="G37"/>
  <c r="F37"/>
  <c r="E37"/>
  <c r="D37"/>
  <c r="AD36"/>
  <c r="AC36"/>
  <c r="AB36"/>
  <c r="AA36"/>
  <c r="Z36"/>
  <c r="Y36"/>
  <c r="X36"/>
  <c r="R36"/>
  <c r="P36"/>
  <c r="M36"/>
  <c r="L36"/>
  <c r="K36"/>
  <c r="J36"/>
  <c r="I36"/>
  <c r="G36"/>
  <c r="E36"/>
  <c r="D36"/>
  <c r="AD35"/>
  <c r="AC35"/>
  <c r="AB35"/>
  <c r="AA35"/>
  <c r="Z35"/>
  <c r="Y35"/>
  <c r="X35"/>
  <c r="R35"/>
  <c r="P35"/>
  <c r="M35"/>
  <c r="L35"/>
  <c r="K35"/>
  <c r="J35"/>
  <c r="I35"/>
  <c r="G35"/>
  <c r="F35"/>
  <c r="E35"/>
  <c r="D35"/>
  <c r="AD34"/>
  <c r="AC34"/>
  <c r="AB34"/>
  <c r="AA34"/>
  <c r="Z34"/>
  <c r="Y34"/>
  <c r="X34"/>
  <c r="R34"/>
  <c r="P34"/>
  <c r="M34"/>
  <c r="L34"/>
  <c r="K34"/>
  <c r="J34"/>
  <c r="I34"/>
  <c r="G34"/>
  <c r="F34"/>
  <c r="E34"/>
  <c r="D34"/>
  <c r="AD33"/>
  <c r="AC33"/>
  <c r="AB33"/>
  <c r="AA33"/>
  <c r="Z33"/>
  <c r="Y33"/>
  <c r="X33"/>
  <c r="R33"/>
  <c r="P33"/>
  <c r="M33"/>
  <c r="L33"/>
  <c r="K33"/>
  <c r="J33"/>
  <c r="I33"/>
  <c r="G33"/>
  <c r="F33"/>
  <c r="E33"/>
  <c r="D33"/>
  <c r="AD32"/>
  <c r="AC32"/>
  <c r="AB32"/>
  <c r="AA32"/>
  <c r="Z32"/>
  <c r="Y32"/>
  <c r="X32"/>
  <c r="R32"/>
  <c r="P32"/>
  <c r="M32"/>
  <c r="L32"/>
  <c r="K32"/>
  <c r="J32"/>
  <c r="I32"/>
  <c r="G32"/>
  <c r="F32"/>
  <c r="E32"/>
  <c r="D32"/>
  <c r="AD31"/>
  <c r="AC31"/>
  <c r="AB31"/>
  <c r="AA31"/>
  <c r="Z31"/>
  <c r="Y31"/>
  <c r="X31"/>
  <c r="R31"/>
  <c r="P31"/>
  <c r="M31"/>
  <c r="L31"/>
  <c r="K31"/>
  <c r="J31"/>
  <c r="I31"/>
  <c r="G31"/>
  <c r="F31"/>
  <c r="E31"/>
  <c r="D31"/>
  <c r="AD30"/>
  <c r="AC30"/>
  <c r="AB30"/>
  <c r="AA30"/>
  <c r="Z30"/>
  <c r="Y30"/>
  <c r="X30"/>
  <c r="R30"/>
  <c r="P30"/>
  <c r="M30"/>
  <c r="L30"/>
  <c r="K30"/>
  <c r="J30"/>
  <c r="I30"/>
  <c r="G30"/>
  <c r="F30"/>
  <c r="E30"/>
  <c r="D30"/>
  <c r="AD29"/>
  <c r="AC29"/>
  <c r="AB29"/>
  <c r="AA29"/>
  <c r="Z29"/>
  <c r="Y29"/>
  <c r="X29"/>
  <c r="R29"/>
  <c r="P29"/>
  <c r="L29"/>
  <c r="K29"/>
  <c r="I29"/>
  <c r="G29"/>
  <c r="F29"/>
  <c r="D29"/>
  <c r="AD28"/>
  <c r="AC28"/>
  <c r="AA28"/>
  <c r="R28"/>
  <c r="P28"/>
  <c r="M28"/>
  <c r="L28"/>
  <c r="K28"/>
  <c r="J28"/>
  <c r="I28"/>
  <c r="G28"/>
  <c r="F28"/>
  <c r="D28"/>
  <c r="AD27"/>
  <c r="AC27"/>
  <c r="R27"/>
  <c r="P27"/>
  <c r="M27"/>
  <c r="L27"/>
  <c r="K27"/>
  <c r="J27"/>
  <c r="I27"/>
  <c r="G27"/>
  <c r="AD26"/>
  <c r="AC26"/>
  <c r="AB26"/>
  <c r="AA26"/>
  <c r="Z26"/>
  <c r="Y26"/>
  <c r="X26"/>
  <c r="R26"/>
  <c r="P26"/>
  <c r="M26"/>
  <c r="L26"/>
  <c r="K26"/>
  <c r="J26"/>
  <c r="I26"/>
  <c r="G26"/>
  <c r="F26"/>
  <c r="E26"/>
  <c r="D26"/>
  <c r="AD25"/>
  <c r="AC25"/>
  <c r="AB25"/>
  <c r="AA25"/>
  <c r="Z25"/>
  <c r="Y25"/>
  <c r="X25"/>
  <c r="R25"/>
  <c r="P25"/>
  <c r="M25"/>
  <c r="L25"/>
  <c r="K25"/>
  <c r="J25"/>
  <c r="I25"/>
  <c r="G25"/>
  <c r="F25"/>
  <c r="E25"/>
  <c r="D25"/>
  <c r="AD24"/>
  <c r="AC24"/>
  <c r="AB24"/>
  <c r="AA24"/>
  <c r="Z24"/>
  <c r="Y24"/>
  <c r="X24"/>
  <c r="R24"/>
  <c r="P24"/>
  <c r="M24"/>
  <c r="L24"/>
  <c r="K24"/>
  <c r="J24"/>
  <c r="I24"/>
  <c r="G24"/>
  <c r="F24"/>
  <c r="E24"/>
  <c r="D24"/>
  <c r="AD23"/>
  <c r="AC23"/>
  <c r="AB23"/>
  <c r="AA23"/>
  <c r="Z23"/>
  <c r="Y23"/>
  <c r="X23"/>
  <c r="R23"/>
  <c r="P23"/>
  <c r="M23"/>
  <c r="L23"/>
  <c r="K23"/>
  <c r="J23"/>
  <c r="I23"/>
  <c r="G23"/>
  <c r="F23"/>
  <c r="E23"/>
  <c r="D23"/>
  <c r="AD22"/>
  <c r="AC22"/>
  <c r="AB22"/>
  <c r="AA22"/>
  <c r="Z22"/>
  <c r="Y22"/>
  <c r="X22"/>
  <c r="R22"/>
  <c r="P22"/>
  <c r="M22"/>
  <c r="L22"/>
  <c r="K22"/>
  <c r="J22"/>
  <c r="I22"/>
  <c r="G22"/>
  <c r="F22"/>
  <c r="E22"/>
  <c r="D22"/>
  <c r="AD21"/>
  <c r="AC21"/>
  <c r="AB21"/>
  <c r="AA21"/>
  <c r="Z21"/>
  <c r="Y21"/>
  <c r="X21"/>
  <c r="R21"/>
  <c r="P21"/>
  <c r="M21"/>
  <c r="L21"/>
  <c r="K21"/>
  <c r="J21"/>
  <c r="I21"/>
  <c r="G21"/>
  <c r="F21"/>
  <c r="E21"/>
  <c r="D21"/>
  <c r="AD20"/>
  <c r="AC20"/>
  <c r="AB20"/>
  <c r="AA20"/>
  <c r="Z20"/>
  <c r="Y20"/>
  <c r="X20"/>
  <c r="R20"/>
  <c r="P20"/>
  <c r="M20"/>
  <c r="L20"/>
  <c r="K20"/>
  <c r="J20"/>
  <c r="I20"/>
  <c r="G20"/>
  <c r="F20"/>
  <c r="E20"/>
  <c r="D20"/>
  <c r="AD19"/>
  <c r="AC19"/>
  <c r="AB19"/>
  <c r="AA19"/>
  <c r="Z19"/>
  <c r="Y19"/>
  <c r="X19"/>
  <c r="R19"/>
  <c r="P19"/>
  <c r="M19"/>
  <c r="L19"/>
  <c r="K19"/>
  <c r="J19"/>
  <c r="I19"/>
  <c r="G19"/>
  <c r="F19"/>
  <c r="E19"/>
  <c r="D19"/>
  <c r="AD18"/>
  <c r="AC18"/>
  <c r="AB18"/>
  <c r="AA18"/>
  <c r="Z18"/>
  <c r="Y18"/>
  <c r="X18"/>
  <c r="R18"/>
  <c r="P18"/>
  <c r="M18"/>
  <c r="L18"/>
  <c r="K18"/>
  <c r="J18"/>
  <c r="I18"/>
  <c r="G18"/>
  <c r="F18"/>
  <c r="E18"/>
  <c r="D18"/>
  <c r="AD17"/>
  <c r="AC17"/>
  <c r="AB17"/>
  <c r="AA17"/>
  <c r="Z17"/>
  <c r="Y17"/>
  <c r="X17"/>
  <c r="R17"/>
  <c r="P17"/>
  <c r="M17"/>
  <c r="L17"/>
  <c r="K17"/>
  <c r="J17"/>
  <c r="I17"/>
  <c r="G17"/>
  <c r="F17"/>
  <c r="E17"/>
  <c r="D17"/>
  <c r="AD16"/>
  <c r="AC16"/>
  <c r="AB16"/>
  <c r="AA16"/>
  <c r="Z16"/>
  <c r="Y16"/>
  <c r="X16"/>
  <c r="R16"/>
  <c r="P16"/>
  <c r="M16"/>
  <c r="L16"/>
  <c r="K16"/>
  <c r="J16"/>
  <c r="I16"/>
  <c r="G16"/>
  <c r="F16"/>
  <c r="E16"/>
  <c r="D16"/>
  <c r="AD15"/>
  <c r="AC15"/>
  <c r="AB15"/>
  <c r="AA15"/>
  <c r="Z15"/>
  <c r="Y15"/>
  <c r="X15"/>
  <c r="R15"/>
  <c r="P15"/>
  <c r="M15"/>
  <c r="L15"/>
  <c r="K15"/>
  <c r="J15"/>
  <c r="I15"/>
  <c r="G15"/>
  <c r="F15"/>
  <c r="E15"/>
  <c r="D15"/>
  <c r="AD14"/>
  <c r="AC14"/>
  <c r="AB14"/>
  <c r="AA14"/>
  <c r="Z14"/>
  <c r="Y14"/>
  <c r="X14"/>
  <c r="R14"/>
  <c r="P14"/>
  <c r="M14"/>
  <c r="L14"/>
  <c r="K14"/>
  <c r="J14"/>
  <c r="I14"/>
  <c r="G14"/>
  <c r="F14"/>
  <c r="E14"/>
  <c r="D14"/>
  <c r="AD13"/>
  <c r="AC13"/>
  <c r="AB13"/>
  <c r="AA13"/>
  <c r="Z13"/>
  <c r="Y13"/>
  <c r="X13"/>
  <c r="R13"/>
  <c r="P13"/>
  <c r="M13"/>
  <c r="L13"/>
  <c r="K13"/>
  <c r="J13"/>
  <c r="I13"/>
  <c r="G13"/>
  <c r="F13"/>
  <c r="E13"/>
  <c r="D13"/>
  <c r="AD12"/>
  <c r="AC12"/>
  <c r="AB12"/>
  <c r="AA12"/>
  <c r="Z12"/>
  <c r="Y12"/>
  <c r="X12"/>
  <c r="R12"/>
  <c r="Q12"/>
  <c r="P12"/>
  <c r="O12"/>
  <c r="N12"/>
  <c r="M12"/>
  <c r="L12"/>
  <c r="K12"/>
  <c r="J12"/>
  <c r="I12"/>
  <c r="G12"/>
  <c r="F12"/>
  <c r="E12"/>
  <c r="D12"/>
  <c r="AD11"/>
  <c r="AC11"/>
  <c r="AB11"/>
  <c r="AA11"/>
  <c r="Z11"/>
  <c r="Y11"/>
  <c r="X11"/>
  <c r="R11"/>
  <c r="Q11"/>
  <c r="P11"/>
  <c r="O11"/>
  <c r="N11"/>
  <c r="M11"/>
  <c r="L11"/>
  <c r="K11"/>
  <c r="J11"/>
  <c r="I11"/>
  <c r="G11"/>
  <c r="F11"/>
  <c r="E11"/>
  <c r="D11"/>
  <c r="AD10"/>
  <c r="AC10"/>
  <c r="AB10"/>
  <c r="AA10"/>
  <c r="Z10"/>
  <c r="Y10"/>
  <c r="X10"/>
  <c r="R10"/>
  <c r="Q10"/>
  <c r="P10"/>
  <c r="O10"/>
  <c r="N10"/>
  <c r="M10"/>
  <c r="L10"/>
  <c r="K10"/>
  <c r="J10"/>
  <c r="I10"/>
  <c r="G10"/>
  <c r="F10"/>
  <c r="E10"/>
  <c r="D10"/>
  <c r="AD9"/>
  <c r="AC9"/>
  <c r="AB9"/>
  <c r="AA9"/>
  <c r="Z9"/>
  <c r="Y9"/>
  <c r="X9"/>
  <c r="R9"/>
  <c r="Q9"/>
  <c r="P9"/>
  <c r="O9"/>
  <c r="N9"/>
  <c r="M9"/>
  <c r="L9"/>
  <c r="K9"/>
  <c r="J9"/>
  <c r="I9"/>
  <c r="G9"/>
  <c r="F9"/>
  <c r="E9"/>
  <c r="D9"/>
  <c r="AD8"/>
  <c r="AC8"/>
  <c r="AB8"/>
  <c r="AA8"/>
  <c r="Z8"/>
  <c r="Y8"/>
  <c r="X8"/>
  <c r="U8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R8"/>
  <c r="Q8"/>
  <c r="P8"/>
  <c r="O8"/>
  <c r="N8"/>
  <c r="M8"/>
  <c r="L8"/>
  <c r="K8"/>
  <c r="J8"/>
  <c r="I8"/>
  <c r="G8"/>
  <c r="F8"/>
  <c r="E8"/>
  <c r="D8"/>
  <c r="A8"/>
  <c r="A9" s="1"/>
  <c r="AB7"/>
  <c r="AA7"/>
  <c r="Z7"/>
  <c r="Y7"/>
  <c r="X7"/>
  <c r="R7"/>
  <c r="Q7"/>
  <c r="P7"/>
  <c r="O7"/>
  <c r="N7"/>
  <c r="M7"/>
  <c r="L7"/>
  <c r="K7"/>
  <c r="J7"/>
  <c r="I7"/>
  <c r="G7"/>
  <c r="F7"/>
  <c r="E7"/>
  <c r="D7"/>
  <c r="U425" i="2"/>
  <c r="R425"/>
  <c r="Q425"/>
  <c r="I425"/>
  <c r="J425"/>
  <c r="F425"/>
  <c r="H425" s="1"/>
  <c r="E425"/>
  <c r="D425"/>
  <c r="C425" l="1"/>
  <c r="B7" i="5"/>
  <c r="B31"/>
  <c r="AI41"/>
  <c r="AI39"/>
  <c r="AI37"/>
  <c r="AI35"/>
  <c r="AI33"/>
  <c r="AI31"/>
  <c r="AI29"/>
  <c r="AF8"/>
  <c r="AF10"/>
  <c r="AF12"/>
  <c r="AF13"/>
  <c r="AF15"/>
  <c r="AF16"/>
  <c r="B21"/>
  <c r="B23"/>
  <c r="AF24"/>
  <c r="AF25"/>
  <c r="AF29"/>
  <c r="AF30"/>
  <c r="AF9"/>
  <c r="B14"/>
  <c r="B16"/>
  <c r="B24"/>
  <c r="B26"/>
  <c r="B32"/>
  <c r="AI40"/>
  <c r="AI38"/>
  <c r="AI36"/>
  <c r="AI34"/>
  <c r="AI32"/>
  <c r="AI30"/>
  <c r="N426" i="1"/>
  <c r="AF7" i="5"/>
  <c r="B15"/>
  <c r="AF17"/>
  <c r="B18"/>
  <c r="AF18"/>
  <c r="AF19"/>
  <c r="B20"/>
  <c r="AF21"/>
  <c r="B22"/>
  <c r="AF23"/>
  <c r="B33"/>
  <c r="AF33"/>
  <c r="B35"/>
  <c r="B37"/>
  <c r="AF37"/>
  <c r="AF38"/>
  <c r="B40"/>
  <c r="B9"/>
  <c r="AF14"/>
  <c r="AG14" s="1"/>
  <c r="AF22"/>
  <c r="AG22" s="1"/>
  <c r="AF34"/>
  <c r="B17"/>
  <c r="AF26"/>
  <c r="N427" i="1"/>
  <c r="B10" i="5"/>
  <c r="B11"/>
  <c r="B12"/>
  <c r="B13"/>
  <c r="B25"/>
  <c r="B30"/>
  <c r="AF31"/>
  <c r="AG31" s="1"/>
  <c r="AF32"/>
  <c r="B34"/>
  <c r="AF35"/>
  <c r="AF36"/>
  <c r="B38"/>
  <c r="AF39"/>
  <c r="AF40"/>
  <c r="AF41"/>
  <c r="AG42" s="1"/>
  <c r="B8"/>
  <c r="AF11"/>
  <c r="B19"/>
  <c r="AF20"/>
  <c r="H426" i="1"/>
  <c r="C426"/>
  <c r="W426"/>
  <c r="W42" i="5" s="1"/>
  <c r="A10"/>
  <c r="AG33" l="1"/>
  <c r="AG18"/>
  <c r="AG10"/>
  <c r="AG24"/>
  <c r="AG16"/>
  <c r="AG8"/>
  <c r="AG26"/>
  <c r="AG17"/>
  <c r="AG19"/>
  <c r="AG9"/>
  <c r="AG12"/>
  <c r="AG34"/>
  <c r="AG20"/>
  <c r="AG13"/>
  <c r="AG15"/>
  <c r="AG25"/>
  <c r="O427" i="1"/>
  <c r="Q427" s="1"/>
  <c r="AG41" i="5"/>
  <c r="AG35"/>
  <c r="AG39"/>
  <c r="AG30"/>
  <c r="AG38"/>
  <c r="AG23"/>
  <c r="AG21"/>
  <c r="AG11"/>
  <c r="AG36"/>
  <c r="AG37"/>
  <c r="O426" i="1"/>
  <c r="S427"/>
  <c r="AG40" i="5"/>
  <c r="AG32"/>
  <c r="A11"/>
  <c r="W425" i="1"/>
  <c r="AE425"/>
  <c r="N425"/>
  <c r="H425"/>
  <c r="C425"/>
  <c r="O425" l="1"/>
  <c r="Q425" s="1"/>
  <c r="S425" s="1"/>
  <c r="Q426"/>
  <c r="A12" i="5"/>
  <c r="S426" i="1" l="1"/>
  <c r="A13" i="5"/>
  <c r="U424" i="2"/>
  <c r="R424"/>
  <c r="Q424"/>
  <c r="J424"/>
  <c r="F424"/>
  <c r="H424" s="1"/>
  <c r="E424"/>
  <c r="D424"/>
  <c r="C424" l="1"/>
  <c r="A14" i="5"/>
  <c r="AE424" i="1"/>
  <c r="W424"/>
  <c r="C424"/>
  <c r="H424"/>
  <c r="N424"/>
  <c r="O424" l="1"/>
  <c r="Q424" s="1"/>
  <c r="A15" i="5"/>
  <c r="S424" i="1" l="1"/>
  <c r="A16" i="5"/>
  <c r="A17" l="1"/>
  <c r="A18" l="1"/>
  <c r="A19" l="1"/>
  <c r="A20" l="1"/>
  <c r="AD442" i="3"/>
  <c r="AC442"/>
  <c r="AB442"/>
  <c r="AA442"/>
  <c r="Z442"/>
  <c r="Y442"/>
  <c r="X442"/>
  <c r="W442" s="1"/>
  <c r="AD441"/>
  <c r="AC441"/>
  <c r="AB441"/>
  <c r="AA441"/>
  <c r="Z441"/>
  <c r="Y441"/>
  <c r="X441"/>
  <c r="W441" s="1"/>
  <c r="AD440"/>
  <c r="AC440"/>
  <c r="AB440"/>
  <c r="AA440"/>
  <c r="Z440"/>
  <c r="Y440"/>
  <c r="X440"/>
  <c r="W440" s="1"/>
  <c r="AD439"/>
  <c r="AC439"/>
  <c r="AB439"/>
  <c r="AA439"/>
  <c r="Z439"/>
  <c r="Y439"/>
  <c r="X439"/>
  <c r="W439" s="1"/>
  <c r="AD438"/>
  <c r="AC438"/>
  <c r="AB438"/>
  <c r="AA438"/>
  <c r="Z438"/>
  <c r="Y438"/>
  <c r="X438"/>
  <c r="W438" s="1"/>
  <c r="AD437"/>
  <c r="AC437"/>
  <c r="AB437"/>
  <c r="AA437"/>
  <c r="Z437"/>
  <c r="Y437"/>
  <c r="X437"/>
  <c r="W437" s="1"/>
  <c r="AD436"/>
  <c r="AC436"/>
  <c r="AB436"/>
  <c r="AA436"/>
  <c r="Z436"/>
  <c r="Y436"/>
  <c r="X436"/>
  <c r="W436" s="1"/>
  <c r="AD435"/>
  <c r="AC435"/>
  <c r="AB435"/>
  <c r="AA435"/>
  <c r="Z435"/>
  <c r="Y435"/>
  <c r="X435"/>
  <c r="W435" s="1"/>
  <c r="AD434"/>
  <c r="AC434"/>
  <c r="AB434"/>
  <c r="AA434"/>
  <c r="Z434"/>
  <c r="Y434"/>
  <c r="X434"/>
  <c r="W434" s="1"/>
  <c r="AD433"/>
  <c r="AC433"/>
  <c r="AB433"/>
  <c r="AA433"/>
  <c r="Z433"/>
  <c r="Y433"/>
  <c r="X433"/>
  <c r="W433" s="1"/>
  <c r="AD432"/>
  <c r="AC432"/>
  <c r="AB432"/>
  <c r="AA432"/>
  <c r="Z432"/>
  <c r="Y432"/>
  <c r="X432"/>
  <c r="W432" s="1"/>
  <c r="AD431"/>
  <c r="AC431"/>
  <c r="AB431"/>
  <c r="AA431"/>
  <c r="Z431"/>
  <c r="Y431"/>
  <c r="X431"/>
  <c r="W431" s="1"/>
  <c r="AD430"/>
  <c r="AC430"/>
  <c r="AB430"/>
  <c r="AA430"/>
  <c r="Z430"/>
  <c r="Y430"/>
  <c r="X430"/>
  <c r="W430" s="1"/>
  <c r="AD429"/>
  <c r="AC429"/>
  <c r="AB429"/>
  <c r="AA429"/>
  <c r="Z429"/>
  <c r="Y429"/>
  <c r="X429"/>
  <c r="W429" s="1"/>
  <c r="AD428"/>
  <c r="AC428"/>
  <c r="AB428"/>
  <c r="AA428"/>
  <c r="Z428"/>
  <c r="Y428"/>
  <c r="X428"/>
  <c r="W428" s="1"/>
  <c r="U428" s="1"/>
  <c r="A428" s="1"/>
  <c r="AD427"/>
  <c r="AC427"/>
  <c r="AB427"/>
  <c r="AA427"/>
  <c r="Z427"/>
  <c r="Y427"/>
  <c r="X427"/>
  <c r="W427" s="1"/>
  <c r="U427" s="1"/>
  <c r="A427" s="1"/>
  <c r="AD426"/>
  <c r="AC426"/>
  <c r="AB426"/>
  <c r="AA426"/>
  <c r="Z426"/>
  <c r="Y426"/>
  <c r="X426"/>
  <c r="W426" s="1"/>
  <c r="U426"/>
  <c r="A426"/>
  <c r="AB425"/>
  <c r="AA425"/>
  <c r="Z425"/>
  <c r="Y425"/>
  <c r="X425"/>
  <c r="W425" s="1"/>
  <c r="AD413"/>
  <c r="AC413"/>
  <c r="AA413"/>
  <c r="Z413"/>
  <c r="L413"/>
  <c r="K413"/>
  <c r="I413"/>
  <c r="G413"/>
  <c r="AD412"/>
  <c r="AC412"/>
  <c r="AA412"/>
  <c r="Z412"/>
  <c r="L412"/>
  <c r="K412"/>
  <c r="I412"/>
  <c r="G412"/>
  <c r="AD411"/>
  <c r="AC411"/>
  <c r="AA411"/>
  <c r="Z411"/>
  <c r="L411"/>
  <c r="K411"/>
  <c r="G411"/>
  <c r="AD410"/>
  <c r="AC410"/>
  <c r="AA410"/>
  <c r="Z410"/>
  <c r="L410"/>
  <c r="K410"/>
  <c r="G410"/>
  <c r="AD409"/>
  <c r="AC409"/>
  <c r="AA409"/>
  <c r="Z409"/>
  <c r="L409"/>
  <c r="K409"/>
  <c r="I409"/>
  <c r="G409"/>
  <c r="AD408"/>
  <c r="AC408"/>
  <c r="AA408"/>
  <c r="Z408"/>
  <c r="L408"/>
  <c r="K408"/>
  <c r="I408"/>
  <c r="G408"/>
  <c r="AD407"/>
  <c r="AC407"/>
  <c r="AA407"/>
  <c r="Z407"/>
  <c r="L407"/>
  <c r="K407"/>
  <c r="I407"/>
  <c r="G407"/>
  <c r="AD406"/>
  <c r="AC406"/>
  <c r="AA406"/>
  <c r="Z406"/>
  <c r="L406"/>
  <c r="K406"/>
  <c r="I406"/>
  <c r="G406"/>
  <c r="AD405"/>
  <c r="AC405"/>
  <c r="AA405"/>
  <c r="Z405"/>
  <c r="L405"/>
  <c r="K405"/>
  <c r="I405"/>
  <c r="G405"/>
  <c r="AD404"/>
  <c r="AC404"/>
  <c r="AA404"/>
  <c r="Z404"/>
  <c r="L404"/>
  <c r="K404"/>
  <c r="I404"/>
  <c r="G404"/>
  <c r="AD403"/>
  <c r="AC403"/>
  <c r="AA403"/>
  <c r="Z403"/>
  <c r="L403"/>
  <c r="K403"/>
  <c r="I403"/>
  <c r="G403"/>
  <c r="AD402"/>
  <c r="AC402"/>
  <c r="AA402"/>
  <c r="Z402"/>
  <c r="L402"/>
  <c r="K402"/>
  <c r="I402"/>
  <c r="G402"/>
  <c r="AD401"/>
  <c r="AC401"/>
  <c r="AA401"/>
  <c r="Z401"/>
  <c r="L401"/>
  <c r="K401"/>
  <c r="I401"/>
  <c r="G401"/>
  <c r="AD400"/>
  <c r="AC400"/>
  <c r="AA400"/>
  <c r="Z400"/>
  <c r="L400"/>
  <c r="K400"/>
  <c r="I400"/>
  <c r="G400"/>
  <c r="AD399"/>
  <c r="AC399"/>
  <c r="AA399"/>
  <c r="Z399"/>
  <c r="L399"/>
  <c r="K399"/>
  <c r="I399"/>
  <c r="G399"/>
  <c r="AD398"/>
  <c r="AC398"/>
  <c r="Z398"/>
  <c r="L398"/>
  <c r="K398"/>
  <c r="I398"/>
  <c r="G398"/>
  <c r="AD397"/>
  <c r="AC397"/>
  <c r="AA397"/>
  <c r="Z397"/>
  <c r="L397"/>
  <c r="K397"/>
  <c r="I397"/>
  <c r="G397"/>
  <c r="AD396"/>
  <c r="AC396"/>
  <c r="AA396"/>
  <c r="L396"/>
  <c r="K396"/>
  <c r="I396"/>
  <c r="G396"/>
  <c r="AD395"/>
  <c r="AC395"/>
  <c r="AA395"/>
  <c r="L395"/>
  <c r="K395"/>
  <c r="I395"/>
  <c r="G395"/>
  <c r="AD394"/>
  <c r="AC394"/>
  <c r="L394"/>
  <c r="K394"/>
  <c r="I394"/>
  <c r="G394"/>
  <c r="AD393"/>
  <c r="AC393"/>
  <c r="AA393"/>
  <c r="Z393"/>
  <c r="L393"/>
  <c r="K393"/>
  <c r="I393"/>
  <c r="G393"/>
  <c r="AD392"/>
  <c r="AC392"/>
  <c r="AA392"/>
  <c r="L392"/>
  <c r="K392"/>
  <c r="I392"/>
  <c r="G392"/>
  <c r="AD391"/>
  <c r="AC391"/>
  <c r="AA391"/>
  <c r="Z391"/>
  <c r="L391"/>
  <c r="K391"/>
  <c r="I391"/>
  <c r="G391"/>
  <c r="AD390"/>
  <c r="AC390"/>
  <c r="AA390"/>
  <c r="Z390"/>
  <c r="L390"/>
  <c r="K390"/>
  <c r="I390"/>
  <c r="G390"/>
  <c r="AD389"/>
  <c r="AC389"/>
  <c r="AA389"/>
  <c r="Z389"/>
  <c r="L389"/>
  <c r="K389"/>
  <c r="I389"/>
  <c r="G389"/>
  <c r="AD388"/>
  <c r="AC388"/>
  <c r="AA388"/>
  <c r="Z388"/>
  <c r="L388"/>
  <c r="K388"/>
  <c r="I388"/>
  <c r="G388"/>
  <c r="AD387"/>
  <c r="AC387"/>
  <c r="AA387"/>
  <c r="Z387"/>
  <c r="L387"/>
  <c r="K387"/>
  <c r="I387"/>
  <c r="G387"/>
  <c r="AD386"/>
  <c r="AC386"/>
  <c r="AA386"/>
  <c r="Z386"/>
  <c r="L386"/>
  <c r="K386"/>
  <c r="I386"/>
  <c r="G386"/>
  <c r="AD385"/>
  <c r="AC385"/>
  <c r="AA385"/>
  <c r="Z385"/>
  <c r="L385"/>
  <c r="K385"/>
  <c r="I385"/>
  <c r="G385"/>
  <c r="AD384"/>
  <c r="AC384"/>
  <c r="AA384"/>
  <c r="Z384"/>
  <c r="L384"/>
  <c r="K384"/>
  <c r="I384"/>
  <c r="G384"/>
  <c r="AD383"/>
  <c r="AC383"/>
  <c r="AA383"/>
  <c r="L383"/>
  <c r="K383"/>
  <c r="G383"/>
  <c r="AD382"/>
  <c r="AC382"/>
  <c r="AA382"/>
  <c r="Z382"/>
  <c r="L382"/>
  <c r="K382"/>
  <c r="I382"/>
  <c r="G382"/>
  <c r="AD381"/>
  <c r="AC381"/>
  <c r="AA381"/>
  <c r="Z381"/>
  <c r="L381"/>
  <c r="K381"/>
  <c r="I381"/>
  <c r="G381"/>
  <c r="AD380"/>
  <c r="AC380"/>
  <c r="AB380"/>
  <c r="AA380"/>
  <c r="Z380"/>
  <c r="Y380"/>
  <c r="X380"/>
  <c r="L380"/>
  <c r="K380"/>
  <c r="J380"/>
  <c r="I380"/>
  <c r="G380"/>
  <c r="F380"/>
  <c r="E380"/>
  <c r="D380"/>
  <c r="AD379"/>
  <c r="AC379"/>
  <c r="L379"/>
  <c r="K379"/>
  <c r="G379"/>
  <c r="AD378"/>
  <c r="AC378"/>
  <c r="AA378"/>
  <c r="Z378"/>
  <c r="L378"/>
  <c r="K378"/>
  <c r="I378"/>
  <c r="G378"/>
  <c r="AD377"/>
  <c r="AC377"/>
  <c r="Z377"/>
  <c r="L377"/>
  <c r="K377"/>
  <c r="I377"/>
  <c r="G377"/>
  <c r="AD376"/>
  <c r="AC376"/>
  <c r="AA376"/>
  <c r="L376"/>
  <c r="K376"/>
  <c r="I376"/>
  <c r="G376"/>
  <c r="AD375"/>
  <c r="AC375"/>
  <c r="L375"/>
  <c r="K375"/>
  <c r="I375"/>
  <c r="G375"/>
  <c r="AD374"/>
  <c r="AC374"/>
  <c r="L374"/>
  <c r="K374"/>
  <c r="I374"/>
  <c r="G374"/>
  <c r="AD373"/>
  <c r="AC373"/>
  <c r="AA373"/>
  <c r="L373"/>
  <c r="K373"/>
  <c r="I373"/>
  <c r="G373"/>
  <c r="AD372"/>
  <c r="AC372"/>
  <c r="AA372"/>
  <c r="Z372"/>
  <c r="L372"/>
  <c r="K372"/>
  <c r="I372"/>
  <c r="G372"/>
  <c r="AD371"/>
  <c r="AC371"/>
  <c r="AA371"/>
  <c r="Z371"/>
  <c r="L371"/>
  <c r="K371"/>
  <c r="I371"/>
  <c r="G371"/>
  <c r="AD370"/>
  <c r="AC370"/>
  <c r="AA370"/>
  <c r="Z370"/>
  <c r="L370"/>
  <c r="K370"/>
  <c r="I370"/>
  <c r="G370"/>
  <c r="AD369"/>
  <c r="AC369"/>
  <c r="AA369"/>
  <c r="Z369"/>
  <c r="L369"/>
  <c r="K369"/>
  <c r="I369"/>
  <c r="G369"/>
  <c r="AD368"/>
  <c r="AC368"/>
  <c r="Z368"/>
  <c r="L368"/>
  <c r="K368"/>
  <c r="I368"/>
  <c r="G368"/>
  <c r="F368"/>
  <c r="AD367"/>
  <c r="AC367"/>
  <c r="AA367"/>
  <c r="L367"/>
  <c r="K367"/>
  <c r="I367"/>
  <c r="G367"/>
  <c r="AD366"/>
  <c r="AC366"/>
  <c r="AA366"/>
  <c r="Z366"/>
  <c r="L366"/>
  <c r="K366"/>
  <c r="I366"/>
  <c r="G366"/>
  <c r="AD365"/>
  <c r="AC365"/>
  <c r="AA365"/>
  <c r="Z365"/>
  <c r="L365"/>
  <c r="K365"/>
  <c r="I365"/>
  <c r="G365"/>
  <c r="AD364"/>
  <c r="AC364"/>
  <c r="AA364"/>
  <c r="Z364"/>
  <c r="L364"/>
  <c r="K364"/>
  <c r="I364"/>
  <c r="G364"/>
  <c r="AD363"/>
  <c r="AC363"/>
  <c r="AA363"/>
  <c r="Z363"/>
  <c r="L363"/>
  <c r="K363"/>
  <c r="I363"/>
  <c r="G363"/>
  <c r="AD362"/>
  <c r="AC362"/>
  <c r="AA362"/>
  <c r="Z362"/>
  <c r="L362"/>
  <c r="K362"/>
  <c r="I362"/>
  <c r="G362"/>
  <c r="AD361"/>
  <c r="AC361"/>
  <c r="AA361"/>
  <c r="Z361"/>
  <c r="L361"/>
  <c r="K361"/>
  <c r="I361"/>
  <c r="G361"/>
  <c r="AD360"/>
  <c r="AC360"/>
  <c r="AA360"/>
  <c r="L360"/>
  <c r="K360"/>
  <c r="I360"/>
  <c r="G360"/>
  <c r="AD359"/>
  <c r="AC359"/>
  <c r="AA359"/>
  <c r="Z359"/>
  <c r="L359"/>
  <c r="K359"/>
  <c r="I359"/>
  <c r="G359"/>
  <c r="AD358"/>
  <c r="AC358"/>
  <c r="AA358"/>
  <c r="Z358"/>
  <c r="L358"/>
  <c r="K358"/>
  <c r="I358"/>
  <c r="G358"/>
  <c r="AD357"/>
  <c r="AC357"/>
  <c r="AA357"/>
  <c r="Z357"/>
  <c r="L357"/>
  <c r="K357"/>
  <c r="I357"/>
  <c r="G357"/>
  <c r="AD356"/>
  <c r="AC356"/>
  <c r="AA356"/>
  <c r="Z356"/>
  <c r="L356"/>
  <c r="K356"/>
  <c r="I356"/>
  <c r="G356"/>
  <c r="AD355"/>
  <c r="AC355"/>
  <c r="L355"/>
  <c r="K355"/>
  <c r="I355"/>
  <c r="G355"/>
  <c r="AD354"/>
  <c r="AC354"/>
  <c r="AA354"/>
  <c r="Z354"/>
  <c r="L354"/>
  <c r="K354"/>
  <c r="I354"/>
  <c r="G354"/>
  <c r="AD353"/>
  <c r="AC353"/>
  <c r="AA353"/>
  <c r="Z353"/>
  <c r="L353"/>
  <c r="K353"/>
  <c r="I353"/>
  <c r="G353"/>
  <c r="AD352"/>
  <c r="AC352"/>
  <c r="AA352"/>
  <c r="Z352"/>
  <c r="L352"/>
  <c r="K352"/>
  <c r="I352"/>
  <c r="G352"/>
  <c r="AD351"/>
  <c r="AC351"/>
  <c r="AA351"/>
  <c r="Z351"/>
  <c r="L351"/>
  <c r="K351"/>
  <c r="I351"/>
  <c r="G351"/>
  <c r="AD350"/>
  <c r="AC350"/>
  <c r="AA350"/>
  <c r="Z350"/>
  <c r="L350"/>
  <c r="K350"/>
  <c r="I350"/>
  <c r="G350"/>
  <c r="AD349"/>
  <c r="AC349"/>
  <c r="AA349"/>
  <c r="Z349"/>
  <c r="L349"/>
  <c r="K349"/>
  <c r="I349"/>
  <c r="G349"/>
  <c r="AD348"/>
  <c r="AC348"/>
  <c r="AA348"/>
  <c r="L348"/>
  <c r="K348"/>
  <c r="I348"/>
  <c r="G348"/>
  <c r="AD347"/>
  <c r="AC347"/>
  <c r="AA347"/>
  <c r="Z347"/>
  <c r="L347"/>
  <c r="K347"/>
  <c r="I347"/>
  <c r="G347"/>
  <c r="AD346"/>
  <c r="AC346"/>
  <c r="AA346"/>
  <c r="Z346"/>
  <c r="L346"/>
  <c r="K346"/>
  <c r="I346"/>
  <c r="G346"/>
  <c r="AD345"/>
  <c r="AC345"/>
  <c r="AA345"/>
  <c r="Z345"/>
  <c r="L345"/>
  <c r="K345"/>
  <c r="I345"/>
  <c r="G345"/>
  <c r="AD344"/>
  <c r="AC344"/>
  <c r="AA344"/>
  <c r="Z344"/>
  <c r="L344"/>
  <c r="K344"/>
  <c r="I344"/>
  <c r="G344"/>
  <c r="AD343"/>
  <c r="AC343"/>
  <c r="AA343"/>
  <c r="L343"/>
  <c r="K343"/>
  <c r="I343"/>
  <c r="G343"/>
  <c r="AD342"/>
  <c r="AC342"/>
  <c r="AA342"/>
  <c r="Z342"/>
  <c r="L342"/>
  <c r="K342"/>
  <c r="I342"/>
  <c r="G342"/>
  <c r="AD341"/>
  <c r="AC341"/>
  <c r="AA341"/>
  <c r="Z341"/>
  <c r="V341"/>
  <c r="U341"/>
  <c r="L341"/>
  <c r="K341"/>
  <c r="I341"/>
  <c r="G341"/>
  <c r="B341"/>
  <c r="A341"/>
  <c r="AD340"/>
  <c r="AC340"/>
  <c r="AA340"/>
  <c r="Z340"/>
  <c r="V340"/>
  <c r="U340"/>
  <c r="L340"/>
  <c r="K340"/>
  <c r="I340"/>
  <c r="G340"/>
  <c r="B340"/>
  <c r="A340"/>
  <c r="AD339"/>
  <c r="AC339"/>
  <c r="AA339"/>
  <c r="Z339"/>
  <c r="V339"/>
  <c r="U339"/>
  <c r="L339"/>
  <c r="K339"/>
  <c r="G339"/>
  <c r="B339"/>
  <c r="A339"/>
  <c r="AD338"/>
  <c r="AC338"/>
  <c r="AA338"/>
  <c r="Z338"/>
  <c r="V338"/>
  <c r="U338"/>
  <c r="L338"/>
  <c r="K338"/>
  <c r="G338"/>
  <c r="B338"/>
  <c r="A338"/>
  <c r="AD337"/>
  <c r="AC337"/>
  <c r="AA337"/>
  <c r="Z337"/>
  <c r="V337"/>
  <c r="U337"/>
  <c r="L337"/>
  <c r="K337"/>
  <c r="G337"/>
  <c r="B337"/>
  <c r="A337"/>
  <c r="AD336"/>
  <c r="AC336"/>
  <c r="AA336"/>
  <c r="Z336"/>
  <c r="V336"/>
  <c r="U336"/>
  <c r="L336"/>
  <c r="K336"/>
  <c r="G336"/>
  <c r="B336"/>
  <c r="A336"/>
  <c r="AD335"/>
  <c r="AC335"/>
  <c r="V335"/>
  <c r="U335"/>
  <c r="L335"/>
  <c r="K335"/>
  <c r="G335"/>
  <c r="B335"/>
  <c r="A335"/>
  <c r="AD334"/>
  <c r="AC334"/>
  <c r="AA334"/>
  <c r="Z334"/>
  <c r="V334"/>
  <c r="U334"/>
  <c r="L334"/>
  <c r="K334"/>
  <c r="I334"/>
  <c r="G334"/>
  <c r="B334"/>
  <c r="A334"/>
  <c r="AD333"/>
  <c r="AC333"/>
  <c r="AA333"/>
  <c r="Z333"/>
  <c r="V333"/>
  <c r="U333"/>
  <c r="L333"/>
  <c r="K333"/>
  <c r="I333"/>
  <c r="G333"/>
  <c r="B333"/>
  <c r="A333"/>
  <c r="AD332"/>
  <c r="AC332"/>
  <c r="AA332"/>
  <c r="Z332"/>
  <c r="V332"/>
  <c r="U332"/>
  <c r="L332"/>
  <c r="K332"/>
  <c r="I332"/>
  <c r="G332"/>
  <c r="B332"/>
  <c r="A332"/>
  <c r="AD331"/>
  <c r="AC331"/>
  <c r="AA331"/>
  <c r="Z331"/>
  <c r="V331"/>
  <c r="U331"/>
  <c r="L331"/>
  <c r="K331"/>
  <c r="I331"/>
  <c r="G331"/>
  <c r="B331"/>
  <c r="A331"/>
  <c r="AD330"/>
  <c r="AC330"/>
  <c r="AA330"/>
  <c r="Z330"/>
  <c r="V330"/>
  <c r="U330"/>
  <c r="L330"/>
  <c r="K330"/>
  <c r="J330"/>
  <c r="I330"/>
  <c r="G330"/>
  <c r="F330"/>
  <c r="B330"/>
  <c r="A330"/>
  <c r="AD329"/>
  <c r="AC329"/>
  <c r="AA329"/>
  <c r="Z329"/>
  <c r="L329"/>
  <c r="K329"/>
  <c r="I329"/>
  <c r="G329"/>
  <c r="AD328"/>
  <c r="AC328"/>
  <c r="AB328"/>
  <c r="AA328"/>
  <c r="Z328"/>
  <c r="Y328"/>
  <c r="X328"/>
  <c r="L328"/>
  <c r="K328"/>
  <c r="J328"/>
  <c r="I328"/>
  <c r="G328"/>
  <c r="F328"/>
  <c r="E328"/>
  <c r="D328"/>
  <c r="AD327"/>
  <c r="AC327"/>
  <c r="AB327"/>
  <c r="AA327"/>
  <c r="Z327"/>
  <c r="Y327"/>
  <c r="X327"/>
  <c r="L327"/>
  <c r="K327"/>
  <c r="J327"/>
  <c r="I327"/>
  <c r="G327"/>
  <c r="F327"/>
  <c r="E327"/>
  <c r="D327"/>
  <c r="AD326"/>
  <c r="AC326"/>
  <c r="AB326"/>
  <c r="AA326"/>
  <c r="Z326"/>
  <c r="Y326"/>
  <c r="X326"/>
  <c r="L326"/>
  <c r="K326"/>
  <c r="J326"/>
  <c r="I326"/>
  <c r="G326"/>
  <c r="F326"/>
  <c r="E326"/>
  <c r="D326"/>
  <c r="AD325"/>
  <c r="AC325"/>
  <c r="AB325"/>
  <c r="AA325"/>
  <c r="Z325"/>
  <c r="Y325"/>
  <c r="X325"/>
  <c r="L325"/>
  <c r="K325"/>
  <c r="J325"/>
  <c r="I325"/>
  <c r="G325"/>
  <c r="F325"/>
  <c r="E325"/>
  <c r="D325"/>
  <c r="AD324"/>
  <c r="AC324"/>
  <c r="AA324"/>
  <c r="Z324"/>
  <c r="L324"/>
  <c r="K324"/>
  <c r="I324"/>
  <c r="G324"/>
  <c r="AD323"/>
  <c r="AC323"/>
  <c r="Z323"/>
  <c r="L323"/>
  <c r="K323"/>
  <c r="I323"/>
  <c r="G323"/>
  <c r="F323"/>
  <c r="AD322"/>
  <c r="AC322"/>
  <c r="AB322"/>
  <c r="AA322"/>
  <c r="Z322"/>
  <c r="Y322"/>
  <c r="X322"/>
  <c r="L322"/>
  <c r="K322"/>
  <c r="J322"/>
  <c r="I322"/>
  <c r="G322"/>
  <c r="F322"/>
  <c r="E322"/>
  <c r="D322"/>
  <c r="AD321"/>
  <c r="AC321"/>
  <c r="AB321"/>
  <c r="AA321"/>
  <c r="Z321"/>
  <c r="Y321"/>
  <c r="X321"/>
  <c r="L321"/>
  <c r="K321"/>
  <c r="J321"/>
  <c r="I321"/>
  <c r="G321"/>
  <c r="F321"/>
  <c r="E321"/>
  <c r="D321"/>
  <c r="AD320"/>
  <c r="AC320"/>
  <c r="AB320"/>
  <c r="AA320"/>
  <c r="Z320"/>
  <c r="Y320"/>
  <c r="X320"/>
  <c r="L320"/>
  <c r="K320"/>
  <c r="J320"/>
  <c r="I320"/>
  <c r="G320"/>
  <c r="F320"/>
  <c r="E320"/>
  <c r="D320"/>
  <c r="AD319"/>
  <c r="AC319"/>
  <c r="L319"/>
  <c r="K319"/>
  <c r="G319"/>
  <c r="AD318"/>
  <c r="AC318"/>
  <c r="AB318"/>
  <c r="AA318"/>
  <c r="Z318"/>
  <c r="Y318"/>
  <c r="X318"/>
  <c r="L318"/>
  <c r="K318"/>
  <c r="J318"/>
  <c r="I318"/>
  <c r="G318"/>
  <c r="F318"/>
  <c r="E318"/>
  <c r="D318"/>
  <c r="AD317"/>
  <c r="AC317"/>
  <c r="AA317"/>
  <c r="Z317"/>
  <c r="L317"/>
  <c r="K317"/>
  <c r="I317"/>
  <c r="G317"/>
  <c r="AD316"/>
  <c r="AC316"/>
  <c r="AA316"/>
  <c r="L316"/>
  <c r="K316"/>
  <c r="I316"/>
  <c r="G316"/>
  <c r="AD315"/>
  <c r="AC315"/>
  <c r="AA315"/>
  <c r="Z315"/>
  <c r="L315"/>
  <c r="K315"/>
  <c r="I315"/>
  <c r="G315"/>
  <c r="AD314"/>
  <c r="AC314"/>
  <c r="AA314"/>
  <c r="Z314"/>
  <c r="L314"/>
  <c r="K314"/>
  <c r="I314"/>
  <c r="G314"/>
  <c r="AD313"/>
  <c r="AC313"/>
  <c r="AA313"/>
  <c r="Z313"/>
  <c r="L313"/>
  <c r="K313"/>
  <c r="I313"/>
  <c r="G313"/>
  <c r="AD312"/>
  <c r="AC312"/>
  <c r="AA312"/>
  <c r="Z312"/>
  <c r="L312"/>
  <c r="K312"/>
  <c r="G312"/>
  <c r="AD311"/>
  <c r="AC311"/>
  <c r="AA311"/>
  <c r="Z311"/>
  <c r="L311"/>
  <c r="K311"/>
  <c r="G311"/>
  <c r="AD310"/>
  <c r="AC310"/>
  <c r="AA310"/>
  <c r="Z310"/>
  <c r="L310"/>
  <c r="K310"/>
  <c r="I310"/>
  <c r="G310"/>
  <c r="F310"/>
  <c r="AD309"/>
  <c r="AC309"/>
  <c r="AA309"/>
  <c r="Z309"/>
  <c r="L309"/>
  <c r="K309"/>
  <c r="I309"/>
  <c r="G309"/>
  <c r="AD308"/>
  <c r="AC308"/>
  <c r="AA308"/>
  <c r="Z308"/>
  <c r="L308"/>
  <c r="K308"/>
  <c r="G308"/>
  <c r="AD307"/>
  <c r="AC307"/>
  <c r="AA307"/>
  <c r="Z307"/>
  <c r="L307"/>
  <c r="K307"/>
  <c r="G307"/>
  <c r="AD306"/>
  <c r="AC306"/>
  <c r="AA306"/>
  <c r="Z306"/>
  <c r="L306"/>
  <c r="K306"/>
  <c r="G306"/>
  <c r="AD305"/>
  <c r="AC305"/>
  <c r="Z305"/>
  <c r="L305"/>
  <c r="K305"/>
  <c r="G305"/>
  <c r="AD304"/>
  <c r="AC304"/>
  <c r="L304"/>
  <c r="K304"/>
  <c r="G304"/>
  <c r="AD303"/>
  <c r="AC303"/>
  <c r="Z303"/>
  <c r="L303"/>
  <c r="K303"/>
  <c r="G303"/>
  <c r="AD302"/>
  <c r="AC302"/>
  <c r="AA302"/>
  <c r="Z302"/>
  <c r="L302"/>
  <c r="K302"/>
  <c r="I302"/>
  <c r="G302"/>
  <c r="AD301"/>
  <c r="AC301"/>
  <c r="AA301"/>
  <c r="Z301"/>
  <c r="L301"/>
  <c r="K301"/>
  <c r="I301"/>
  <c r="G301"/>
  <c r="AD300"/>
  <c r="AC300"/>
  <c r="AA300"/>
  <c r="Z300"/>
  <c r="L300"/>
  <c r="K300"/>
  <c r="I300"/>
  <c r="G300"/>
  <c r="F300"/>
  <c r="AD299"/>
  <c r="AC299"/>
  <c r="AA299"/>
  <c r="L299"/>
  <c r="K299"/>
  <c r="I299"/>
  <c r="G299"/>
  <c r="AD298"/>
  <c r="AC298"/>
  <c r="AA298"/>
  <c r="Z298"/>
  <c r="L298"/>
  <c r="K298"/>
  <c r="I298"/>
  <c r="G298"/>
  <c r="F298"/>
  <c r="AD297"/>
  <c r="AC297"/>
  <c r="AA297"/>
  <c r="Z297"/>
  <c r="L297"/>
  <c r="K297"/>
  <c r="I297"/>
  <c r="G297"/>
  <c r="F297"/>
  <c r="AD296"/>
  <c r="AC296"/>
  <c r="AA296"/>
  <c r="Z296"/>
  <c r="L296"/>
  <c r="K296"/>
  <c r="I296"/>
  <c r="G296"/>
  <c r="F296"/>
  <c r="AD295"/>
  <c r="AC295"/>
  <c r="AA295"/>
  <c r="Z295"/>
  <c r="L295"/>
  <c r="K295"/>
  <c r="I295"/>
  <c r="G295"/>
  <c r="F295"/>
  <c r="AD294"/>
  <c r="AC294"/>
  <c r="AA294"/>
  <c r="Z294"/>
  <c r="L294"/>
  <c r="K294"/>
  <c r="I294"/>
  <c r="G294"/>
  <c r="F294"/>
  <c r="AD293"/>
  <c r="AC293"/>
  <c r="AA293"/>
  <c r="Z293"/>
  <c r="L293"/>
  <c r="K293"/>
  <c r="I293"/>
  <c r="G293"/>
  <c r="F293"/>
  <c r="AD292"/>
  <c r="AC292"/>
  <c r="AA292"/>
  <c r="Z292"/>
  <c r="L292"/>
  <c r="K292"/>
  <c r="I292"/>
  <c r="G292"/>
  <c r="F292"/>
  <c r="AD291"/>
  <c r="AC291"/>
  <c r="AA291"/>
  <c r="Z291"/>
  <c r="L291"/>
  <c r="K291"/>
  <c r="I291"/>
  <c r="G291"/>
  <c r="F291"/>
  <c r="AD290"/>
  <c r="AC290"/>
  <c r="AA290"/>
  <c r="Z290"/>
  <c r="L290"/>
  <c r="K290"/>
  <c r="I290"/>
  <c r="G290"/>
  <c r="F290"/>
  <c r="AD289"/>
  <c r="AC289"/>
  <c r="AA289"/>
  <c r="Z289"/>
  <c r="L289"/>
  <c r="K289"/>
  <c r="I289"/>
  <c r="G289"/>
  <c r="F289"/>
  <c r="AD288"/>
  <c r="AC288"/>
  <c r="AA288"/>
  <c r="Z288"/>
  <c r="L288"/>
  <c r="K288"/>
  <c r="I288"/>
  <c r="G288"/>
  <c r="F288"/>
  <c r="AD287"/>
  <c r="AC287"/>
  <c r="AA287"/>
  <c r="Z287"/>
  <c r="L287"/>
  <c r="K287"/>
  <c r="I287"/>
  <c r="G287"/>
  <c r="F287"/>
  <c r="AD286"/>
  <c r="AC286"/>
  <c r="AA286"/>
  <c r="Z286"/>
  <c r="L286"/>
  <c r="K286"/>
  <c r="I286"/>
  <c r="G286"/>
  <c r="F286"/>
  <c r="AD285"/>
  <c r="AC285"/>
  <c r="AA285"/>
  <c r="Z285"/>
  <c r="L285"/>
  <c r="K285"/>
  <c r="I285"/>
  <c r="G285"/>
  <c r="F285"/>
  <c r="AD284"/>
  <c r="AC284"/>
  <c r="AA284"/>
  <c r="Z284"/>
  <c r="L284"/>
  <c r="K284"/>
  <c r="I284"/>
  <c r="G284"/>
  <c r="F284"/>
  <c r="AD283"/>
  <c r="AC283"/>
  <c r="AA283"/>
  <c r="Z283"/>
  <c r="L283"/>
  <c r="K283"/>
  <c r="I283"/>
  <c r="G283"/>
  <c r="F283"/>
  <c r="AD282"/>
  <c r="AC282"/>
  <c r="AA282"/>
  <c r="Z282"/>
  <c r="L282"/>
  <c r="K282"/>
  <c r="I282"/>
  <c r="G282"/>
  <c r="F282"/>
  <c r="AD281"/>
  <c r="AC281"/>
  <c r="AA281"/>
  <c r="Z281"/>
  <c r="L281"/>
  <c r="K281"/>
  <c r="I281"/>
  <c r="G281"/>
  <c r="F281"/>
  <c r="AD280"/>
  <c r="AC280"/>
  <c r="AA280"/>
  <c r="Z280"/>
  <c r="L280"/>
  <c r="K280"/>
  <c r="I280"/>
  <c r="G280"/>
  <c r="F280"/>
  <c r="AD279"/>
  <c r="AC279"/>
  <c r="AA279"/>
  <c r="Z279"/>
  <c r="L279"/>
  <c r="K279"/>
  <c r="I279"/>
  <c r="G279"/>
  <c r="F279"/>
  <c r="AD278"/>
  <c r="AC278"/>
  <c r="AA278"/>
  <c r="Z278"/>
  <c r="L278"/>
  <c r="K278"/>
  <c r="I278"/>
  <c r="G278"/>
  <c r="F278"/>
  <c r="AD277"/>
  <c r="AC277"/>
  <c r="AA277"/>
  <c r="Z277"/>
  <c r="L277"/>
  <c r="K277"/>
  <c r="I277"/>
  <c r="G277"/>
  <c r="AD276"/>
  <c r="AC276"/>
  <c r="AA276"/>
  <c r="Z276"/>
  <c r="L276"/>
  <c r="K276"/>
  <c r="I276"/>
  <c r="G276"/>
  <c r="F276"/>
  <c r="AD275"/>
  <c r="AC275"/>
  <c r="AA275"/>
  <c r="Z275"/>
  <c r="L275"/>
  <c r="K275"/>
  <c r="G275"/>
  <c r="AD274"/>
  <c r="AC274"/>
  <c r="AA274"/>
  <c r="Z274"/>
  <c r="L274"/>
  <c r="K274"/>
  <c r="I274"/>
  <c r="G274"/>
  <c r="F274"/>
  <c r="AD273"/>
  <c r="AC273"/>
  <c r="AA273"/>
  <c r="Z273"/>
  <c r="L273"/>
  <c r="K273"/>
  <c r="I273"/>
  <c r="G273"/>
  <c r="F273"/>
  <c r="AD272"/>
  <c r="AC272"/>
  <c r="AA272"/>
  <c r="Z272"/>
  <c r="L272"/>
  <c r="K272"/>
  <c r="I272"/>
  <c r="G272"/>
  <c r="F272"/>
  <c r="AD271"/>
  <c r="AC271"/>
  <c r="AA271"/>
  <c r="Z271"/>
  <c r="L271"/>
  <c r="K271"/>
  <c r="I271"/>
  <c r="G271"/>
  <c r="F271"/>
  <c r="AD270"/>
  <c r="AC270"/>
  <c r="AA270"/>
  <c r="Z270"/>
  <c r="L270"/>
  <c r="K270"/>
  <c r="I270"/>
  <c r="G270"/>
  <c r="F270"/>
  <c r="E270"/>
  <c r="AD269"/>
  <c r="AC269"/>
  <c r="AA269"/>
  <c r="Z269"/>
  <c r="L269"/>
  <c r="K269"/>
  <c r="I269"/>
  <c r="G269"/>
  <c r="F269"/>
  <c r="AD268"/>
  <c r="AC268"/>
  <c r="AB268"/>
  <c r="AA268"/>
  <c r="Z268"/>
  <c r="Y268"/>
  <c r="X268"/>
  <c r="L268"/>
  <c r="K268"/>
  <c r="J268"/>
  <c r="I268"/>
  <c r="G268"/>
  <c r="F268"/>
  <c r="E268"/>
  <c r="D268"/>
  <c r="AD267"/>
  <c r="AC267"/>
  <c r="AB267"/>
  <c r="AA267"/>
  <c r="Z267"/>
  <c r="Y267"/>
  <c r="X267"/>
  <c r="L267"/>
  <c r="K267"/>
  <c r="J267"/>
  <c r="I267"/>
  <c r="G267"/>
  <c r="F267"/>
  <c r="E267"/>
  <c r="D267"/>
  <c r="AD266"/>
  <c r="AC266"/>
  <c r="AA266"/>
  <c r="Z266"/>
  <c r="L266"/>
  <c r="K266"/>
  <c r="I266"/>
  <c r="G266"/>
  <c r="F266"/>
  <c r="AD265"/>
  <c r="AC265"/>
  <c r="AA265"/>
  <c r="L265"/>
  <c r="K265"/>
  <c r="J265"/>
  <c r="I265"/>
  <c r="G265"/>
  <c r="F265"/>
  <c r="E265"/>
  <c r="D265"/>
  <c r="AD264"/>
  <c r="AC264"/>
  <c r="AA264"/>
  <c r="L264"/>
  <c r="K264"/>
  <c r="J264"/>
  <c r="I264"/>
  <c r="G264"/>
  <c r="F264"/>
  <c r="E264"/>
  <c r="D264"/>
  <c r="AD263"/>
  <c r="AC263"/>
  <c r="AA263"/>
  <c r="Z263"/>
  <c r="Y263"/>
  <c r="X263"/>
  <c r="L263"/>
  <c r="K263"/>
  <c r="I263"/>
  <c r="G263"/>
  <c r="F263"/>
  <c r="AD262"/>
  <c r="AC262"/>
  <c r="AB262"/>
  <c r="AA262"/>
  <c r="Z262"/>
  <c r="Y262"/>
  <c r="X262"/>
  <c r="L262"/>
  <c r="K262"/>
  <c r="J262"/>
  <c r="I262"/>
  <c r="G262"/>
  <c r="F262"/>
  <c r="E262"/>
  <c r="D262"/>
  <c r="AD261"/>
  <c r="AC261"/>
  <c r="AB261"/>
  <c r="AA261"/>
  <c r="Z261"/>
  <c r="Y261"/>
  <c r="X261"/>
  <c r="L261"/>
  <c r="K261"/>
  <c r="J261"/>
  <c r="I261"/>
  <c r="G261"/>
  <c r="F261"/>
  <c r="E261"/>
  <c r="D261"/>
  <c r="AD260"/>
  <c r="AC260"/>
  <c r="AB260"/>
  <c r="AA260"/>
  <c r="Z260"/>
  <c r="L260"/>
  <c r="K260"/>
  <c r="I260"/>
  <c r="G260"/>
  <c r="F260"/>
  <c r="D260"/>
  <c r="AD259"/>
  <c r="AC259"/>
  <c r="AA259"/>
  <c r="Z259"/>
  <c r="L259"/>
  <c r="K259"/>
  <c r="I259"/>
  <c r="G259"/>
  <c r="F259"/>
  <c r="AD258"/>
  <c r="AC258"/>
  <c r="AA258"/>
  <c r="Z258"/>
  <c r="L258"/>
  <c r="K258"/>
  <c r="I258"/>
  <c r="G258"/>
  <c r="F258"/>
  <c r="AD257"/>
  <c r="AC257"/>
  <c r="AA257"/>
  <c r="Z257"/>
  <c r="L257"/>
  <c r="K257"/>
  <c r="I257"/>
  <c r="G257"/>
  <c r="F257"/>
  <c r="AD256"/>
  <c r="AC256"/>
  <c r="AA256"/>
  <c r="Z256"/>
  <c r="L256"/>
  <c r="K256"/>
  <c r="I256"/>
  <c r="G256"/>
  <c r="F256"/>
  <c r="AD255"/>
  <c r="AC255"/>
  <c r="AA255"/>
  <c r="Z255"/>
  <c r="L255"/>
  <c r="K255"/>
  <c r="I255"/>
  <c r="G255"/>
  <c r="F255"/>
  <c r="AD254"/>
  <c r="AC254"/>
  <c r="L254"/>
  <c r="K254"/>
  <c r="I254"/>
  <c r="G254"/>
  <c r="F254"/>
  <c r="AD253"/>
  <c r="AC253"/>
  <c r="L253"/>
  <c r="K253"/>
  <c r="I253"/>
  <c r="G253"/>
  <c r="F253"/>
  <c r="E253"/>
  <c r="D253"/>
  <c r="AD252"/>
  <c r="AC252"/>
  <c r="L252"/>
  <c r="K252"/>
  <c r="I252"/>
  <c r="G252"/>
  <c r="F252"/>
  <c r="AD251"/>
  <c r="AC251"/>
  <c r="L251"/>
  <c r="K251"/>
  <c r="J251"/>
  <c r="I251"/>
  <c r="G251"/>
  <c r="F251"/>
  <c r="AD250"/>
  <c r="AC250"/>
  <c r="L250"/>
  <c r="K250"/>
  <c r="I250"/>
  <c r="G250"/>
  <c r="F250"/>
  <c r="AD249"/>
  <c r="AC249"/>
  <c r="L249"/>
  <c r="K249"/>
  <c r="J249"/>
  <c r="I249"/>
  <c r="G249"/>
  <c r="F249"/>
  <c r="E249"/>
  <c r="D249"/>
  <c r="AD248"/>
  <c r="AC248"/>
  <c r="AA248"/>
  <c r="L248"/>
  <c r="K248"/>
  <c r="J248"/>
  <c r="I248"/>
  <c r="G248"/>
  <c r="AD247"/>
  <c r="AC247"/>
  <c r="AB247"/>
  <c r="AA247"/>
  <c r="Z247"/>
  <c r="Y247"/>
  <c r="X247"/>
  <c r="L247"/>
  <c r="K247"/>
  <c r="J247"/>
  <c r="I247"/>
  <c r="G247"/>
  <c r="F247"/>
  <c r="E247"/>
  <c r="D247"/>
  <c r="AD246"/>
  <c r="AC246"/>
  <c r="AB246"/>
  <c r="AA246"/>
  <c r="Z246"/>
  <c r="Y246"/>
  <c r="X246"/>
  <c r="L246"/>
  <c r="K246"/>
  <c r="J246"/>
  <c r="I246"/>
  <c r="G246"/>
  <c r="F246"/>
  <c r="E246"/>
  <c r="D246"/>
  <c r="AD245"/>
  <c r="AC245"/>
  <c r="AB245"/>
  <c r="AA245"/>
  <c r="Z245"/>
  <c r="Y245"/>
  <c r="X245"/>
  <c r="L245"/>
  <c r="K245"/>
  <c r="J245"/>
  <c r="I245"/>
  <c r="G245"/>
  <c r="F245"/>
  <c r="E245"/>
  <c r="D245"/>
  <c r="AD244"/>
  <c r="AC244"/>
  <c r="AB244"/>
  <c r="AA244"/>
  <c r="Z244"/>
  <c r="Y244"/>
  <c r="X244"/>
  <c r="L244"/>
  <c r="K244"/>
  <c r="J244"/>
  <c r="I244"/>
  <c r="G244"/>
  <c r="F244"/>
  <c r="E244"/>
  <c r="D244"/>
  <c r="AD243"/>
  <c r="AC243"/>
  <c r="AB243"/>
  <c r="AA243"/>
  <c r="Z243"/>
  <c r="Y243"/>
  <c r="X243"/>
  <c r="L243"/>
  <c r="K243"/>
  <c r="J243"/>
  <c r="I243"/>
  <c r="G243"/>
  <c r="F243"/>
  <c r="E243"/>
  <c r="D243"/>
  <c r="AD242"/>
  <c r="AC242"/>
  <c r="AB242"/>
  <c r="AA242"/>
  <c r="Z242"/>
  <c r="Y242"/>
  <c r="X242"/>
  <c r="L242"/>
  <c r="K242"/>
  <c r="J242"/>
  <c r="I242"/>
  <c r="G242"/>
  <c r="F242"/>
  <c r="E242"/>
  <c r="D242"/>
  <c r="AD241"/>
  <c r="AC241"/>
  <c r="AB241"/>
  <c r="AA241"/>
  <c r="Z241"/>
  <c r="Y241"/>
  <c r="X241"/>
  <c r="L241"/>
  <c r="K241"/>
  <c r="J241"/>
  <c r="I241"/>
  <c r="G241"/>
  <c r="F241"/>
  <c r="E241"/>
  <c r="D241"/>
  <c r="AD240"/>
  <c r="AC240"/>
  <c r="AB240"/>
  <c r="AA240"/>
  <c r="Z240"/>
  <c r="Y240"/>
  <c r="X240"/>
  <c r="L240"/>
  <c r="K240"/>
  <c r="J240"/>
  <c r="I240"/>
  <c r="G240"/>
  <c r="F240"/>
  <c r="E240"/>
  <c r="D240"/>
  <c r="AD239"/>
  <c r="AC239"/>
  <c r="AB239"/>
  <c r="AA239"/>
  <c r="Z239"/>
  <c r="Y239"/>
  <c r="X239"/>
  <c r="L239"/>
  <c r="K239"/>
  <c r="J239"/>
  <c r="I239"/>
  <c r="G239"/>
  <c r="F239"/>
  <c r="E239"/>
  <c r="D239"/>
  <c r="AD238"/>
  <c r="AC238"/>
  <c r="AB238"/>
  <c r="AA238"/>
  <c r="Z238"/>
  <c r="Y238"/>
  <c r="X238"/>
  <c r="L238"/>
  <c r="K238"/>
  <c r="J238"/>
  <c r="I238"/>
  <c r="G238"/>
  <c r="F238"/>
  <c r="E238"/>
  <c r="D238"/>
  <c r="AD237"/>
  <c r="AC237"/>
  <c r="AB237"/>
  <c r="AA237"/>
  <c r="Z237"/>
  <c r="Y237"/>
  <c r="X237"/>
  <c r="L237"/>
  <c r="K237"/>
  <c r="J237"/>
  <c r="I237"/>
  <c r="G237"/>
  <c r="F237"/>
  <c r="E237"/>
  <c r="D237"/>
  <c r="AD236"/>
  <c r="AC236"/>
  <c r="AB236"/>
  <c r="AA236"/>
  <c r="Z236"/>
  <c r="Y236"/>
  <c r="X236"/>
  <c r="L236"/>
  <c r="K236"/>
  <c r="J236"/>
  <c r="I236"/>
  <c r="G236"/>
  <c r="F236"/>
  <c r="E236"/>
  <c r="D236"/>
  <c r="AD235"/>
  <c r="AC235"/>
  <c r="AB235"/>
  <c r="AA235"/>
  <c r="Z235"/>
  <c r="Y235"/>
  <c r="X235"/>
  <c r="L235"/>
  <c r="K235"/>
  <c r="J235"/>
  <c r="I235"/>
  <c r="G235"/>
  <c r="F235"/>
  <c r="E235"/>
  <c r="D235"/>
  <c r="AD234"/>
  <c r="AC234"/>
  <c r="AB234"/>
  <c r="AA234"/>
  <c r="Z234"/>
  <c r="Y234"/>
  <c r="X234"/>
  <c r="L234"/>
  <c r="K234"/>
  <c r="J234"/>
  <c r="I234"/>
  <c r="G234"/>
  <c r="F234"/>
  <c r="E234"/>
  <c r="D234"/>
  <c r="AD233"/>
  <c r="AC233"/>
  <c r="AB233"/>
  <c r="AA233"/>
  <c r="Z233"/>
  <c r="Y233"/>
  <c r="X233"/>
  <c r="L233"/>
  <c r="K233"/>
  <c r="J233"/>
  <c r="I233"/>
  <c r="G233"/>
  <c r="F233"/>
  <c r="E233"/>
  <c r="D233"/>
  <c r="AD232"/>
  <c r="AC232"/>
  <c r="AB232"/>
  <c r="AA232"/>
  <c r="Z232"/>
  <c r="Y232"/>
  <c r="X232"/>
  <c r="L232"/>
  <c r="K232"/>
  <c r="J232"/>
  <c r="I232"/>
  <c r="G232"/>
  <c r="F232"/>
  <c r="E232"/>
  <c r="D232"/>
  <c r="AD231"/>
  <c r="AC231"/>
  <c r="AB231"/>
  <c r="AE231" s="1"/>
  <c r="AA231"/>
  <c r="Z231"/>
  <c r="Y231"/>
  <c r="X231"/>
  <c r="L231"/>
  <c r="K231"/>
  <c r="J231"/>
  <c r="I231"/>
  <c r="G231"/>
  <c r="F231"/>
  <c r="E231"/>
  <c r="D231"/>
  <c r="AD230"/>
  <c r="AC230"/>
  <c r="AB230"/>
  <c r="AA230"/>
  <c r="Z230"/>
  <c r="Y230"/>
  <c r="X230"/>
  <c r="L230"/>
  <c r="K230"/>
  <c r="J230"/>
  <c r="I230"/>
  <c r="G230"/>
  <c r="F230"/>
  <c r="E230"/>
  <c r="D230"/>
  <c r="AD229"/>
  <c r="AC229"/>
  <c r="AB229"/>
  <c r="AA229"/>
  <c r="Z229"/>
  <c r="Y229"/>
  <c r="X229"/>
  <c r="L229"/>
  <c r="K229"/>
  <c r="J229"/>
  <c r="I229"/>
  <c r="G229"/>
  <c r="F229"/>
  <c r="E229"/>
  <c r="D229"/>
  <c r="AD228"/>
  <c r="AC228"/>
  <c r="AB228"/>
  <c r="AA228"/>
  <c r="Z228"/>
  <c r="Y228"/>
  <c r="X228"/>
  <c r="L228"/>
  <c r="K228"/>
  <c r="J228"/>
  <c r="I228"/>
  <c r="G228"/>
  <c r="F228"/>
  <c r="E228"/>
  <c r="D228"/>
  <c r="AD227"/>
  <c r="AC227"/>
  <c r="AB227"/>
  <c r="AA227"/>
  <c r="Z227"/>
  <c r="Y227"/>
  <c r="X227"/>
  <c r="L227"/>
  <c r="K227"/>
  <c r="J227"/>
  <c r="I227"/>
  <c r="G227"/>
  <c r="F227"/>
  <c r="E227"/>
  <c r="D227"/>
  <c r="AD226"/>
  <c r="AC226"/>
  <c r="AB226"/>
  <c r="AA226"/>
  <c r="Z226"/>
  <c r="Y226"/>
  <c r="X226"/>
  <c r="L226"/>
  <c r="K226"/>
  <c r="J226"/>
  <c r="I226"/>
  <c r="G226"/>
  <c r="F226"/>
  <c r="E226"/>
  <c r="D226"/>
  <c r="AD225"/>
  <c r="AC225"/>
  <c r="AB225"/>
  <c r="AA225"/>
  <c r="Z225"/>
  <c r="Y225"/>
  <c r="X225"/>
  <c r="L225"/>
  <c r="K225"/>
  <c r="J225"/>
  <c r="I225"/>
  <c r="G225"/>
  <c r="F225"/>
  <c r="E225"/>
  <c r="D225"/>
  <c r="AE224"/>
  <c r="AE223"/>
  <c r="AE222"/>
  <c r="AE221"/>
  <c r="AE220"/>
  <c r="AE219"/>
  <c r="AE218"/>
  <c r="AE217"/>
  <c r="AE216"/>
  <c r="AE215"/>
  <c r="AE214"/>
  <c r="AE213"/>
  <c r="AE212"/>
  <c r="AE211"/>
  <c r="AE210"/>
  <c r="AE209"/>
  <c r="AE208"/>
  <c r="AE207"/>
  <c r="AE206"/>
  <c r="AE205"/>
  <c r="AE204"/>
  <c r="AE203"/>
  <c r="AE202"/>
  <c r="AE201"/>
  <c r="AE200"/>
  <c r="AE199"/>
  <c r="AE198"/>
  <c r="T524" i="2"/>
  <c r="S524"/>
  <c r="G524"/>
  <c r="I523"/>
  <c r="G523"/>
  <c r="G522"/>
  <c r="I521"/>
  <c r="G521"/>
  <c r="I520"/>
  <c r="G520"/>
  <c r="T519"/>
  <c r="I519"/>
  <c r="G519"/>
  <c r="G518"/>
  <c r="G517"/>
  <c r="T516"/>
  <c r="G516"/>
  <c r="G515"/>
  <c r="T514"/>
  <c r="S514"/>
  <c r="I514"/>
  <c r="G514"/>
  <c r="F514"/>
  <c r="T513"/>
  <c r="S513"/>
  <c r="G513"/>
  <c r="T512"/>
  <c r="S512"/>
  <c r="I512"/>
  <c r="G512"/>
  <c r="F512"/>
  <c r="T511"/>
  <c r="S511"/>
  <c r="I511"/>
  <c r="H511"/>
  <c r="G511"/>
  <c r="F511"/>
  <c r="U510"/>
  <c r="T510"/>
  <c r="S510"/>
  <c r="R510"/>
  <c r="Q510"/>
  <c r="J510"/>
  <c r="I510"/>
  <c r="H510"/>
  <c r="G510"/>
  <c r="F510"/>
  <c r="E510"/>
  <c r="D510"/>
  <c r="U509"/>
  <c r="T509"/>
  <c r="S509"/>
  <c r="R509"/>
  <c r="Q509"/>
  <c r="J509"/>
  <c r="I509"/>
  <c r="H509"/>
  <c r="G509"/>
  <c r="F509"/>
  <c r="E509"/>
  <c r="D509"/>
  <c r="P425"/>
  <c r="P424"/>
  <c r="U423"/>
  <c r="T423"/>
  <c r="T525" s="1"/>
  <c r="S423"/>
  <c r="S525" s="1"/>
  <c r="R423"/>
  <c r="Q423"/>
  <c r="J423"/>
  <c r="I423"/>
  <c r="F423"/>
  <c r="H423" s="1"/>
  <c r="E423"/>
  <c r="D423"/>
  <c r="U422"/>
  <c r="R422"/>
  <c r="Q422"/>
  <c r="J422"/>
  <c r="F422"/>
  <c r="H422" s="1"/>
  <c r="E422"/>
  <c r="D422"/>
  <c r="U421"/>
  <c r="R421"/>
  <c r="Q421"/>
  <c r="J421"/>
  <c r="F421"/>
  <c r="H421" s="1"/>
  <c r="E421"/>
  <c r="D421"/>
  <c r="U420"/>
  <c r="R420"/>
  <c r="Q420"/>
  <c r="J420"/>
  <c r="F420"/>
  <c r="E420"/>
  <c r="D420"/>
  <c r="U419"/>
  <c r="R419"/>
  <c r="Q419"/>
  <c r="J419"/>
  <c r="F419"/>
  <c r="E419"/>
  <c r="D419"/>
  <c r="U418"/>
  <c r="R418"/>
  <c r="Q418"/>
  <c r="J418"/>
  <c r="F418"/>
  <c r="E418"/>
  <c r="D418"/>
  <c r="U417"/>
  <c r="R417"/>
  <c r="Q417"/>
  <c r="J417"/>
  <c r="I417"/>
  <c r="F417"/>
  <c r="E417"/>
  <c r="D417"/>
  <c r="U416"/>
  <c r="R416"/>
  <c r="Q416"/>
  <c r="J416"/>
  <c r="F416"/>
  <c r="E416"/>
  <c r="D416"/>
  <c r="U415"/>
  <c r="R415"/>
  <c r="Q415"/>
  <c r="J415"/>
  <c r="I415"/>
  <c r="F415"/>
  <c r="E415"/>
  <c r="D415"/>
  <c r="U414"/>
  <c r="R414"/>
  <c r="Q414"/>
  <c r="J414"/>
  <c r="I414"/>
  <c r="F414"/>
  <c r="E414"/>
  <c r="D414"/>
  <c r="U413"/>
  <c r="R413"/>
  <c r="Q413"/>
  <c r="J413"/>
  <c r="F413"/>
  <c r="H413" s="1"/>
  <c r="E413"/>
  <c r="D413"/>
  <c r="U412"/>
  <c r="R412"/>
  <c r="Q412"/>
  <c r="J412"/>
  <c r="F412"/>
  <c r="H412" s="1"/>
  <c r="E412"/>
  <c r="D412"/>
  <c r="U411"/>
  <c r="R411"/>
  <c r="Q411"/>
  <c r="J411"/>
  <c r="I411"/>
  <c r="F411"/>
  <c r="H411" s="1"/>
  <c r="E411"/>
  <c r="D411"/>
  <c r="U410"/>
  <c r="R410"/>
  <c r="Q410"/>
  <c r="J410"/>
  <c r="I410"/>
  <c r="I410" i="3" s="1"/>
  <c r="F410" i="2"/>
  <c r="H410" s="1"/>
  <c r="E410"/>
  <c r="D410"/>
  <c r="U409"/>
  <c r="R409"/>
  <c r="Q409"/>
  <c r="J409"/>
  <c r="F409"/>
  <c r="H409" s="1"/>
  <c r="E409"/>
  <c r="D409"/>
  <c r="U408"/>
  <c r="R408"/>
  <c r="Q408"/>
  <c r="J408"/>
  <c r="F408"/>
  <c r="H408" s="1"/>
  <c r="E408"/>
  <c r="D408"/>
  <c r="U407"/>
  <c r="R407"/>
  <c r="Q407"/>
  <c r="J407"/>
  <c r="F407"/>
  <c r="H407" s="1"/>
  <c r="E407"/>
  <c r="D407"/>
  <c r="U406"/>
  <c r="R406"/>
  <c r="Q406"/>
  <c r="J406"/>
  <c r="F406"/>
  <c r="H406" s="1"/>
  <c r="E406"/>
  <c r="D406"/>
  <c r="U405"/>
  <c r="R405"/>
  <c r="Q405"/>
  <c r="J405"/>
  <c r="F405"/>
  <c r="H405" s="1"/>
  <c r="E405"/>
  <c r="D405"/>
  <c r="U404"/>
  <c r="R404"/>
  <c r="Q404"/>
  <c r="J404"/>
  <c r="F404"/>
  <c r="H404" s="1"/>
  <c r="E404"/>
  <c r="D404"/>
  <c r="U403"/>
  <c r="R403"/>
  <c r="Q403"/>
  <c r="J403"/>
  <c r="F403"/>
  <c r="H403" s="1"/>
  <c r="E403"/>
  <c r="D403"/>
  <c r="U402"/>
  <c r="AB402" i="3" s="1"/>
  <c r="R402" i="2"/>
  <c r="Y402" i="3" s="1"/>
  <c r="Q402" i="2"/>
  <c r="X402" i="3" s="1"/>
  <c r="J402" i="2"/>
  <c r="F402"/>
  <c r="F402" i="3" s="1"/>
  <c r="E402" i="2"/>
  <c r="E402" i="3" s="1"/>
  <c r="D402" i="2"/>
  <c r="D402" i="3" s="1"/>
  <c r="U401" i="2"/>
  <c r="R401"/>
  <c r="Q401"/>
  <c r="J401"/>
  <c r="F401"/>
  <c r="H401" s="1"/>
  <c r="E401"/>
  <c r="D401"/>
  <c r="U400"/>
  <c r="R400"/>
  <c r="Q400"/>
  <c r="J400"/>
  <c r="F400"/>
  <c r="H400" s="1"/>
  <c r="E400"/>
  <c r="D400"/>
  <c r="U399"/>
  <c r="R399"/>
  <c r="Q399"/>
  <c r="J399"/>
  <c r="F399"/>
  <c r="H399" s="1"/>
  <c r="E399"/>
  <c r="D399"/>
  <c r="U398"/>
  <c r="T398"/>
  <c r="R398"/>
  <c r="Q398"/>
  <c r="J398"/>
  <c r="F398"/>
  <c r="H398" s="1"/>
  <c r="E398"/>
  <c r="D398"/>
  <c r="U397"/>
  <c r="R397"/>
  <c r="Q397"/>
  <c r="J397"/>
  <c r="F397"/>
  <c r="H397" s="1"/>
  <c r="E397"/>
  <c r="D397"/>
  <c r="U396"/>
  <c r="S396"/>
  <c r="R396"/>
  <c r="Q396"/>
  <c r="J396"/>
  <c r="F396"/>
  <c r="H396" s="1"/>
  <c r="E396"/>
  <c r="D396"/>
  <c r="U395"/>
  <c r="S395"/>
  <c r="R395"/>
  <c r="Q395"/>
  <c r="J395"/>
  <c r="F395"/>
  <c r="H395" s="1"/>
  <c r="E395"/>
  <c r="D395"/>
  <c r="U394"/>
  <c r="T394"/>
  <c r="AA394" i="3" s="1"/>
  <c r="S394" i="2"/>
  <c r="R394"/>
  <c r="Q394"/>
  <c r="J394"/>
  <c r="F394"/>
  <c r="H394" s="1"/>
  <c r="E394"/>
  <c r="D394"/>
  <c r="U393"/>
  <c r="R393"/>
  <c r="Q393"/>
  <c r="J393"/>
  <c r="F393"/>
  <c r="H393" s="1"/>
  <c r="E393"/>
  <c r="D393"/>
  <c r="U392"/>
  <c r="S392"/>
  <c r="Z392" i="3" s="1"/>
  <c r="R392" i="2"/>
  <c r="Q392"/>
  <c r="J392"/>
  <c r="F392"/>
  <c r="H392" s="1"/>
  <c r="E392"/>
  <c r="D392"/>
  <c r="U391"/>
  <c r="R391"/>
  <c r="Q391"/>
  <c r="J391"/>
  <c r="F391"/>
  <c r="H391" s="1"/>
  <c r="E391"/>
  <c r="D391"/>
  <c r="U390"/>
  <c r="AB390" i="3" s="1"/>
  <c r="R390" i="2"/>
  <c r="Y390" i="3" s="1"/>
  <c r="Q390" i="2"/>
  <c r="X390" i="3" s="1"/>
  <c r="J390" i="2"/>
  <c r="F390"/>
  <c r="F390" i="3" s="1"/>
  <c r="E390" i="2"/>
  <c r="E390" i="3" s="1"/>
  <c r="D390" i="2"/>
  <c r="D390" i="3" s="1"/>
  <c r="U389" i="2"/>
  <c r="R389"/>
  <c r="Q389"/>
  <c r="J389"/>
  <c r="F389"/>
  <c r="H389" s="1"/>
  <c r="E389"/>
  <c r="D389"/>
  <c r="U388"/>
  <c r="R388"/>
  <c r="Q388"/>
  <c r="J388"/>
  <c r="F388"/>
  <c r="H388" s="1"/>
  <c r="E388"/>
  <c r="D388"/>
  <c r="U387"/>
  <c r="R387"/>
  <c r="Q387"/>
  <c r="J387"/>
  <c r="F387"/>
  <c r="H387" s="1"/>
  <c r="E387"/>
  <c r="D387"/>
  <c r="U386"/>
  <c r="R386"/>
  <c r="Q386"/>
  <c r="J386"/>
  <c r="F386"/>
  <c r="H386" s="1"/>
  <c r="E386"/>
  <c r="D386"/>
  <c r="U385"/>
  <c r="R385"/>
  <c r="Q385"/>
  <c r="J385"/>
  <c r="F385"/>
  <c r="H385" s="1"/>
  <c r="E385"/>
  <c r="D385"/>
  <c r="U384"/>
  <c r="R384"/>
  <c r="Q384"/>
  <c r="J384"/>
  <c r="F384"/>
  <c r="H384" s="1"/>
  <c r="E384"/>
  <c r="D384"/>
  <c r="U383"/>
  <c r="S383"/>
  <c r="R383"/>
  <c r="Q383"/>
  <c r="J383"/>
  <c r="I383"/>
  <c r="F383"/>
  <c r="H383" s="1"/>
  <c r="E383"/>
  <c r="D383"/>
  <c r="U382"/>
  <c r="R382"/>
  <c r="Q382"/>
  <c r="J382"/>
  <c r="F382"/>
  <c r="H382" s="1"/>
  <c r="E382"/>
  <c r="D382"/>
  <c r="U381"/>
  <c r="R381"/>
  <c r="Q381"/>
  <c r="J381"/>
  <c r="F381"/>
  <c r="H381" s="1"/>
  <c r="E381"/>
  <c r="D381"/>
  <c r="P380"/>
  <c r="H380"/>
  <c r="C380"/>
  <c r="U379"/>
  <c r="T379"/>
  <c r="AA379" i="3" s="1"/>
  <c r="S379" i="2"/>
  <c r="Z379" i="3" s="1"/>
  <c r="R379" i="2"/>
  <c r="Q379"/>
  <c r="J379"/>
  <c r="I379"/>
  <c r="I379" i="3" s="1"/>
  <c r="F379" i="2"/>
  <c r="H379" s="1"/>
  <c r="E379"/>
  <c r="D379"/>
  <c r="U378"/>
  <c r="AB378" i="3" s="1"/>
  <c r="R378" i="2"/>
  <c r="Y378" i="3" s="1"/>
  <c r="Q378" i="2"/>
  <c r="X378" i="3" s="1"/>
  <c r="J378" i="2"/>
  <c r="F378"/>
  <c r="F378" i="3" s="1"/>
  <c r="E378" i="2"/>
  <c r="E378" i="3" s="1"/>
  <c r="D378" i="2"/>
  <c r="D378" i="3" s="1"/>
  <c r="U377" i="2"/>
  <c r="T377"/>
  <c r="R377"/>
  <c r="Q377"/>
  <c r="J377"/>
  <c r="F377"/>
  <c r="H377" s="1"/>
  <c r="E377"/>
  <c r="D377"/>
  <c r="U376"/>
  <c r="S376"/>
  <c r="R376"/>
  <c r="Q376"/>
  <c r="J376"/>
  <c r="F376"/>
  <c r="H376" s="1"/>
  <c r="E376"/>
  <c r="D376"/>
  <c r="U375"/>
  <c r="T375"/>
  <c r="S375"/>
  <c r="R375"/>
  <c r="Q375"/>
  <c r="J375"/>
  <c r="F375"/>
  <c r="H375" s="1"/>
  <c r="E375"/>
  <c r="D375"/>
  <c r="U374"/>
  <c r="T374"/>
  <c r="S374"/>
  <c r="R374"/>
  <c r="Q374"/>
  <c r="J374"/>
  <c r="F374"/>
  <c r="H374" s="1"/>
  <c r="E374"/>
  <c r="D374"/>
  <c r="U373"/>
  <c r="S373"/>
  <c r="R373"/>
  <c r="Q373"/>
  <c r="J373"/>
  <c r="F373"/>
  <c r="H373" s="1"/>
  <c r="E373"/>
  <c r="D373"/>
  <c r="U372"/>
  <c r="R372"/>
  <c r="Q372"/>
  <c r="J372"/>
  <c r="F372"/>
  <c r="H372" s="1"/>
  <c r="E372"/>
  <c r="D372"/>
  <c r="U371"/>
  <c r="R371"/>
  <c r="Q371"/>
  <c r="J371"/>
  <c r="F371"/>
  <c r="H371" s="1"/>
  <c r="E371"/>
  <c r="D371"/>
  <c r="U370"/>
  <c r="R370"/>
  <c r="Q370"/>
  <c r="J370"/>
  <c r="F370"/>
  <c r="H370" s="1"/>
  <c r="E370"/>
  <c r="D370"/>
  <c r="U369"/>
  <c r="R369"/>
  <c r="Q369"/>
  <c r="J369"/>
  <c r="F369"/>
  <c r="H369" s="1"/>
  <c r="E369"/>
  <c r="D369"/>
  <c r="U368"/>
  <c r="T368"/>
  <c r="AA368" i="3" s="1"/>
  <c r="R368" i="2"/>
  <c r="Q368"/>
  <c r="J368"/>
  <c r="H368"/>
  <c r="E368"/>
  <c r="D368"/>
  <c r="U367"/>
  <c r="S367"/>
  <c r="Z367" i="3" s="1"/>
  <c r="R367" i="2"/>
  <c r="Q367"/>
  <c r="J367"/>
  <c r="F367"/>
  <c r="H367" s="1"/>
  <c r="E367"/>
  <c r="D367"/>
  <c r="U366"/>
  <c r="AB366" i="3" s="1"/>
  <c r="R366" i="2"/>
  <c r="Y366" i="3" s="1"/>
  <c r="Q366" i="2"/>
  <c r="X366" i="3" s="1"/>
  <c r="J366" i="2"/>
  <c r="F366"/>
  <c r="F366" i="3" s="1"/>
  <c r="E366" i="2"/>
  <c r="E366" i="3" s="1"/>
  <c r="D366" i="2"/>
  <c r="D366" i="3" s="1"/>
  <c r="U365" i="2"/>
  <c r="R365"/>
  <c r="Q365"/>
  <c r="J365"/>
  <c r="F365"/>
  <c r="H365" s="1"/>
  <c r="E365"/>
  <c r="D365"/>
  <c r="U364"/>
  <c r="R364"/>
  <c r="Q364"/>
  <c r="J364"/>
  <c r="F364"/>
  <c r="H364" s="1"/>
  <c r="E364"/>
  <c r="D364"/>
  <c r="U363"/>
  <c r="R363"/>
  <c r="Q363"/>
  <c r="J363"/>
  <c r="F363"/>
  <c r="H363" s="1"/>
  <c r="E363"/>
  <c r="D363"/>
  <c r="U362"/>
  <c r="R362"/>
  <c r="Q362"/>
  <c r="J362"/>
  <c r="F362"/>
  <c r="H362" s="1"/>
  <c r="E362"/>
  <c r="D362"/>
  <c r="U361"/>
  <c r="R361"/>
  <c r="Q361"/>
  <c r="J361"/>
  <c r="F361"/>
  <c r="E361"/>
  <c r="D361"/>
  <c r="U360"/>
  <c r="S360"/>
  <c r="R360"/>
  <c r="Q360"/>
  <c r="J360"/>
  <c r="F360"/>
  <c r="E360"/>
  <c r="D360"/>
  <c r="U359"/>
  <c r="R359"/>
  <c r="Q359"/>
  <c r="J359"/>
  <c r="F359"/>
  <c r="H359" s="1"/>
  <c r="E359"/>
  <c r="D359"/>
  <c r="U358"/>
  <c r="R358"/>
  <c r="Q358"/>
  <c r="J358"/>
  <c r="F358"/>
  <c r="H358" s="1"/>
  <c r="E358"/>
  <c r="D358"/>
  <c r="U357"/>
  <c r="R357"/>
  <c r="Q357"/>
  <c r="J357"/>
  <c r="F357"/>
  <c r="H357" s="1"/>
  <c r="E357"/>
  <c r="D357"/>
  <c r="U356"/>
  <c r="R356"/>
  <c r="Q356"/>
  <c r="J356"/>
  <c r="F356"/>
  <c r="H356" s="1"/>
  <c r="E356"/>
  <c r="D356"/>
  <c r="U355"/>
  <c r="T355"/>
  <c r="AA355" i="3" s="1"/>
  <c r="S355" i="2"/>
  <c r="Z355" i="3" s="1"/>
  <c r="R355" i="2"/>
  <c r="Q355"/>
  <c r="J355"/>
  <c r="F355"/>
  <c r="H355" s="1"/>
  <c r="E355"/>
  <c r="D355"/>
  <c r="U354"/>
  <c r="AB354" i="3" s="1"/>
  <c r="R354" i="2"/>
  <c r="Q354"/>
  <c r="X354" i="3" s="1"/>
  <c r="J354" i="2"/>
  <c r="F354"/>
  <c r="F354" i="3" s="1"/>
  <c r="E354" i="2"/>
  <c r="E354" i="3" s="1"/>
  <c r="D354" i="2"/>
  <c r="D354" i="3" s="1"/>
  <c r="U353" i="2"/>
  <c r="R353"/>
  <c r="Q353"/>
  <c r="J353"/>
  <c r="F353"/>
  <c r="H353" s="1"/>
  <c r="E353"/>
  <c r="D353"/>
  <c r="U352"/>
  <c r="R352"/>
  <c r="Q352"/>
  <c r="J352"/>
  <c r="F352"/>
  <c r="H352" s="1"/>
  <c r="E352"/>
  <c r="D352"/>
  <c r="U351"/>
  <c r="R351"/>
  <c r="Q351"/>
  <c r="J351"/>
  <c r="F351"/>
  <c r="H351" s="1"/>
  <c r="E351"/>
  <c r="D351"/>
  <c r="U350"/>
  <c r="R350"/>
  <c r="Q350"/>
  <c r="J350"/>
  <c r="F350"/>
  <c r="H350" s="1"/>
  <c r="E350"/>
  <c r="D350"/>
  <c r="U349"/>
  <c r="R349"/>
  <c r="Q349"/>
  <c r="J349"/>
  <c r="F349"/>
  <c r="H349" s="1"/>
  <c r="E349"/>
  <c r="D349"/>
  <c r="U348"/>
  <c r="S348"/>
  <c r="R348"/>
  <c r="Q348"/>
  <c r="J348"/>
  <c r="F348"/>
  <c r="H348" s="1"/>
  <c r="E348"/>
  <c r="D348"/>
  <c r="U347"/>
  <c r="R347"/>
  <c r="Q347"/>
  <c r="J347"/>
  <c r="F347"/>
  <c r="H347" s="1"/>
  <c r="E347"/>
  <c r="D347"/>
  <c r="U346"/>
  <c r="R346"/>
  <c r="Q346"/>
  <c r="J346"/>
  <c r="F346"/>
  <c r="H346" s="1"/>
  <c r="E346"/>
  <c r="D346"/>
  <c r="U345"/>
  <c r="R345"/>
  <c r="Q345"/>
  <c r="J345"/>
  <c r="F345"/>
  <c r="H345" s="1"/>
  <c r="E345"/>
  <c r="D345"/>
  <c r="U344"/>
  <c r="R344"/>
  <c r="Q344"/>
  <c r="J344"/>
  <c r="F344"/>
  <c r="H344" s="1"/>
  <c r="E344"/>
  <c r="D344"/>
  <c r="U343"/>
  <c r="S343"/>
  <c r="Z343" i="3" s="1"/>
  <c r="R343" i="2"/>
  <c r="Q343"/>
  <c r="J343"/>
  <c r="F343"/>
  <c r="H343" s="1"/>
  <c r="E343"/>
  <c r="D343"/>
  <c r="U342"/>
  <c r="AB342" i="3" s="1"/>
  <c r="R342" i="2"/>
  <c r="Y342" i="3" s="1"/>
  <c r="Q342" i="2"/>
  <c r="X342" i="3" s="1"/>
  <c r="J342" i="2"/>
  <c r="F342"/>
  <c r="F342" i="3" s="1"/>
  <c r="E342" i="2"/>
  <c r="E342" i="3" s="1"/>
  <c r="D342" i="2"/>
  <c r="D342" i="3" s="1"/>
  <c r="U341" i="2"/>
  <c r="R341"/>
  <c r="Q341"/>
  <c r="O341"/>
  <c r="N341"/>
  <c r="J341"/>
  <c r="F341"/>
  <c r="H341" s="1"/>
  <c r="E341"/>
  <c r="D341"/>
  <c r="U340"/>
  <c r="R340"/>
  <c r="Q340"/>
  <c r="O340"/>
  <c r="N340"/>
  <c r="J340"/>
  <c r="F340"/>
  <c r="H340" s="1"/>
  <c r="E340"/>
  <c r="D340"/>
  <c r="U339"/>
  <c r="R339"/>
  <c r="Q339"/>
  <c r="O339"/>
  <c r="N339"/>
  <c r="J339"/>
  <c r="I339"/>
  <c r="F339"/>
  <c r="H339" s="1"/>
  <c r="E339"/>
  <c r="D339"/>
  <c r="U338"/>
  <c r="R338"/>
  <c r="Q338"/>
  <c r="O338"/>
  <c r="N338"/>
  <c r="J338"/>
  <c r="I338"/>
  <c r="F338"/>
  <c r="H338" s="1"/>
  <c r="E338"/>
  <c r="D338"/>
  <c r="U337"/>
  <c r="R337"/>
  <c r="Q337"/>
  <c r="O337"/>
  <c r="N337"/>
  <c r="J337"/>
  <c r="I337"/>
  <c r="F337"/>
  <c r="H337" s="1"/>
  <c r="E337"/>
  <c r="D337"/>
  <c r="U336"/>
  <c r="R336"/>
  <c r="Q336"/>
  <c r="O336"/>
  <c r="N336"/>
  <c r="J336"/>
  <c r="I336"/>
  <c r="H336"/>
  <c r="F336"/>
  <c r="E336"/>
  <c r="D336"/>
  <c r="U335"/>
  <c r="T335"/>
  <c r="AA335" i="3" s="1"/>
  <c r="S335" i="2"/>
  <c r="Z335" i="3" s="1"/>
  <c r="R335" i="2"/>
  <c r="Q335"/>
  <c r="O335"/>
  <c r="N335"/>
  <c r="J335"/>
  <c r="I335"/>
  <c r="I335" i="3" s="1"/>
  <c r="F335" i="2"/>
  <c r="H335" s="1"/>
  <c r="E335"/>
  <c r="D335"/>
  <c r="U334"/>
  <c r="R334"/>
  <c r="Q334"/>
  <c r="O334"/>
  <c r="N334"/>
  <c r="J334"/>
  <c r="F334"/>
  <c r="H334" s="1"/>
  <c r="E334"/>
  <c r="D334"/>
  <c r="U333"/>
  <c r="R333"/>
  <c r="Q333"/>
  <c r="O333"/>
  <c r="N333"/>
  <c r="J333"/>
  <c r="F333"/>
  <c r="H333" s="1"/>
  <c r="E333"/>
  <c r="D333"/>
  <c r="U332"/>
  <c r="R332"/>
  <c r="Q332"/>
  <c r="O332"/>
  <c r="N332"/>
  <c r="J332"/>
  <c r="F332"/>
  <c r="H332" s="1"/>
  <c r="E332"/>
  <c r="D332"/>
  <c r="U331"/>
  <c r="R331"/>
  <c r="Q331"/>
  <c r="O331"/>
  <c r="N331"/>
  <c r="J331"/>
  <c r="F331"/>
  <c r="F331" i="3" s="1"/>
  <c r="E331" i="2"/>
  <c r="D331"/>
  <c r="U330"/>
  <c r="AB330" i="3" s="1"/>
  <c r="R330" i="2"/>
  <c r="Y330" i="3" s="1"/>
  <c r="Q330" i="2"/>
  <c r="X330" i="3" s="1"/>
  <c r="O330" i="2"/>
  <c r="N330"/>
  <c r="H330"/>
  <c r="E330"/>
  <c r="D330"/>
  <c r="D330" i="3" s="1"/>
  <c r="U329" i="2"/>
  <c r="R329"/>
  <c r="Q329"/>
  <c r="J329"/>
  <c r="F329"/>
  <c r="E329"/>
  <c r="D329"/>
  <c r="B329"/>
  <c r="A329"/>
  <c r="P328"/>
  <c r="H328"/>
  <c r="C328"/>
  <c r="B328"/>
  <c r="A328"/>
  <c r="P327"/>
  <c r="H327"/>
  <c r="C327"/>
  <c r="B327"/>
  <c r="A327"/>
  <c r="P326"/>
  <c r="H326"/>
  <c r="C326"/>
  <c r="B326"/>
  <c r="A326"/>
  <c r="P325"/>
  <c r="H325"/>
  <c r="C325"/>
  <c r="B325"/>
  <c r="A325"/>
  <c r="U324"/>
  <c r="R324"/>
  <c r="Q324"/>
  <c r="J324"/>
  <c r="F324"/>
  <c r="H324" s="1"/>
  <c r="E324"/>
  <c r="D324"/>
  <c r="B324"/>
  <c r="A324"/>
  <c r="U323"/>
  <c r="T323"/>
  <c r="R323"/>
  <c r="Q323"/>
  <c r="J323"/>
  <c r="H323"/>
  <c r="E323"/>
  <c r="D323"/>
  <c r="B323"/>
  <c r="A323"/>
  <c r="P322"/>
  <c r="H322"/>
  <c r="C322"/>
  <c r="B322"/>
  <c r="A322"/>
  <c r="P321"/>
  <c r="H321"/>
  <c r="C321"/>
  <c r="B321"/>
  <c r="A321"/>
  <c r="P320"/>
  <c r="H320"/>
  <c r="C320"/>
  <c r="B320"/>
  <c r="A320"/>
  <c r="U319"/>
  <c r="AB319" i="3" s="1"/>
  <c r="T319" i="2"/>
  <c r="AA319" i="3" s="1"/>
  <c r="S319" i="2"/>
  <c r="Z319" i="3" s="1"/>
  <c r="R319" i="2"/>
  <c r="Y319" i="3" s="1"/>
  <c r="Q319" i="2"/>
  <c r="X319" i="3" s="1"/>
  <c r="J319" i="2"/>
  <c r="J319" i="3" s="1"/>
  <c r="I319" i="2"/>
  <c r="F319"/>
  <c r="F319" i="3" s="1"/>
  <c r="E319" i="2"/>
  <c r="E319" i="3" s="1"/>
  <c r="D319" i="2"/>
  <c r="D319" i="3" s="1"/>
  <c r="B319" i="2"/>
  <c r="A319"/>
  <c r="P318"/>
  <c r="H318"/>
  <c r="C318"/>
  <c r="B318"/>
  <c r="A318"/>
  <c r="U317"/>
  <c r="R317"/>
  <c r="Q317"/>
  <c r="J317"/>
  <c r="F317"/>
  <c r="H317" s="1"/>
  <c r="E317"/>
  <c r="D317"/>
  <c r="U316"/>
  <c r="S316"/>
  <c r="Z316" i="3" s="1"/>
  <c r="R316" i="2"/>
  <c r="Q316"/>
  <c r="J316"/>
  <c r="F316"/>
  <c r="H316" s="1"/>
  <c r="E316"/>
  <c r="D316"/>
  <c r="U315"/>
  <c r="R315"/>
  <c r="Q315"/>
  <c r="J315"/>
  <c r="F315"/>
  <c r="H315" s="1"/>
  <c r="E315"/>
  <c r="D315"/>
  <c r="U314"/>
  <c r="R314"/>
  <c r="Q314"/>
  <c r="J314"/>
  <c r="F314"/>
  <c r="H314" s="1"/>
  <c r="E314"/>
  <c r="D314"/>
  <c r="U313"/>
  <c r="R313"/>
  <c r="Q313"/>
  <c r="J313"/>
  <c r="F313"/>
  <c r="H313" s="1"/>
  <c r="E313"/>
  <c r="D313"/>
  <c r="U312"/>
  <c r="R312"/>
  <c r="Q312"/>
  <c r="J312"/>
  <c r="I312"/>
  <c r="F312"/>
  <c r="H312" s="1"/>
  <c r="E312"/>
  <c r="D312"/>
  <c r="U311"/>
  <c r="R311"/>
  <c r="Q311"/>
  <c r="J311"/>
  <c r="I311"/>
  <c r="F311"/>
  <c r="H311" s="1"/>
  <c r="E311"/>
  <c r="D311"/>
  <c r="U310"/>
  <c r="R310"/>
  <c r="Q310"/>
  <c r="J310"/>
  <c r="H310"/>
  <c r="E310"/>
  <c r="D310"/>
  <c r="U309"/>
  <c r="R309"/>
  <c r="Q309"/>
  <c r="J309"/>
  <c r="F309"/>
  <c r="H309" s="1"/>
  <c r="E309"/>
  <c r="D309"/>
  <c r="U308"/>
  <c r="R308"/>
  <c r="Q308"/>
  <c r="J308"/>
  <c r="I308"/>
  <c r="F308"/>
  <c r="H308" s="1"/>
  <c r="E308"/>
  <c r="D308"/>
  <c r="U307"/>
  <c r="R307"/>
  <c r="Q307"/>
  <c r="J307"/>
  <c r="I307"/>
  <c r="F307"/>
  <c r="H307" s="1"/>
  <c r="E307"/>
  <c r="D307"/>
  <c r="U306"/>
  <c r="AB306" i="3" s="1"/>
  <c r="R306" i="2"/>
  <c r="Y306" i="3" s="1"/>
  <c r="Q306" i="2"/>
  <c r="X306" i="3" s="1"/>
  <c r="J306" i="2"/>
  <c r="J306" i="3" s="1"/>
  <c r="I306" i="2"/>
  <c r="F306"/>
  <c r="F306" i="3" s="1"/>
  <c r="E306" i="2"/>
  <c r="D306"/>
  <c r="D306" i="3" s="1"/>
  <c r="U305" i="2"/>
  <c r="T305"/>
  <c r="R305"/>
  <c r="Q305"/>
  <c r="J305"/>
  <c r="I305"/>
  <c r="F305"/>
  <c r="H305" s="1"/>
  <c r="E305"/>
  <c r="D305"/>
  <c r="U304"/>
  <c r="T304"/>
  <c r="S304"/>
  <c r="R304"/>
  <c r="Q304"/>
  <c r="J304"/>
  <c r="I304"/>
  <c r="F304"/>
  <c r="H304" s="1"/>
  <c r="E304"/>
  <c r="D304"/>
  <c r="U303"/>
  <c r="T303"/>
  <c r="AA303" i="3" s="1"/>
  <c r="R303" i="2"/>
  <c r="Q303"/>
  <c r="J303"/>
  <c r="I303"/>
  <c r="F303"/>
  <c r="H303" s="1"/>
  <c r="E303"/>
  <c r="D303"/>
  <c r="U302"/>
  <c r="R302"/>
  <c r="Q302"/>
  <c r="J302"/>
  <c r="F302"/>
  <c r="H302" s="1"/>
  <c r="E302"/>
  <c r="D302"/>
  <c r="U301"/>
  <c r="R301"/>
  <c r="Q301"/>
  <c r="J301"/>
  <c r="F301"/>
  <c r="H301" s="1"/>
  <c r="E301"/>
  <c r="D301"/>
  <c r="U300"/>
  <c r="R300"/>
  <c r="Q300"/>
  <c r="J300"/>
  <c r="H300"/>
  <c r="E300"/>
  <c r="D300"/>
  <c r="U299"/>
  <c r="S299"/>
  <c r="R299"/>
  <c r="Q299"/>
  <c r="J299"/>
  <c r="F299"/>
  <c r="F299" i="3" s="1"/>
  <c r="E299" i="2"/>
  <c r="D299"/>
  <c r="U298"/>
  <c r="R298"/>
  <c r="Q298"/>
  <c r="J298"/>
  <c r="H298"/>
  <c r="E298"/>
  <c r="D298"/>
  <c r="U297"/>
  <c r="R297"/>
  <c r="Q297"/>
  <c r="J297"/>
  <c r="H297"/>
  <c r="E297"/>
  <c r="D297"/>
  <c r="U296"/>
  <c r="R296"/>
  <c r="Q296"/>
  <c r="P296" s="1"/>
  <c r="J296"/>
  <c r="H296"/>
  <c r="E296"/>
  <c r="D296"/>
  <c r="U295"/>
  <c r="R295"/>
  <c r="Q295"/>
  <c r="J295"/>
  <c r="H295"/>
  <c r="E295"/>
  <c r="D295"/>
  <c r="U294"/>
  <c r="R294"/>
  <c r="Y294" i="3" s="1"/>
  <c r="Q294" i="2"/>
  <c r="J294"/>
  <c r="J294" i="3" s="1"/>
  <c r="H294" i="2"/>
  <c r="E294"/>
  <c r="D294"/>
  <c r="D294" i="3" s="1"/>
  <c r="U293" i="2"/>
  <c r="R293"/>
  <c r="Q293"/>
  <c r="J293"/>
  <c r="H293"/>
  <c r="E293"/>
  <c r="D293"/>
  <c r="U292"/>
  <c r="R292"/>
  <c r="Q292"/>
  <c r="P292" s="1"/>
  <c r="J292"/>
  <c r="H292"/>
  <c r="E292"/>
  <c r="D292"/>
  <c r="U291"/>
  <c r="R291"/>
  <c r="Q291"/>
  <c r="J291"/>
  <c r="H291"/>
  <c r="E291"/>
  <c r="D291"/>
  <c r="U290"/>
  <c r="R290"/>
  <c r="Q290"/>
  <c r="J290"/>
  <c r="H290"/>
  <c r="E290"/>
  <c r="D290"/>
  <c r="U289"/>
  <c r="R289"/>
  <c r="Q289"/>
  <c r="J289"/>
  <c r="H289"/>
  <c r="E289"/>
  <c r="D289"/>
  <c r="U288"/>
  <c r="R288"/>
  <c r="Q288"/>
  <c r="P288" s="1"/>
  <c r="J288"/>
  <c r="H288"/>
  <c r="E288"/>
  <c r="D288"/>
  <c r="U287"/>
  <c r="R287"/>
  <c r="Q287"/>
  <c r="J287"/>
  <c r="H287"/>
  <c r="E287"/>
  <c r="D287"/>
  <c r="U286"/>
  <c r="R286"/>
  <c r="Q286"/>
  <c r="J286"/>
  <c r="H286"/>
  <c r="E286"/>
  <c r="D286"/>
  <c r="U285"/>
  <c r="R285"/>
  <c r="Q285"/>
  <c r="J285"/>
  <c r="H285"/>
  <c r="E285"/>
  <c r="D285"/>
  <c r="U284"/>
  <c r="R284"/>
  <c r="Q284"/>
  <c r="P284" s="1"/>
  <c r="J284"/>
  <c r="H284"/>
  <c r="E284"/>
  <c r="D284"/>
  <c r="U283"/>
  <c r="R283"/>
  <c r="Q283"/>
  <c r="J283"/>
  <c r="H283"/>
  <c r="E283"/>
  <c r="D283"/>
  <c r="U282"/>
  <c r="R282"/>
  <c r="Q282"/>
  <c r="J282"/>
  <c r="H282"/>
  <c r="E282"/>
  <c r="D282"/>
  <c r="U281"/>
  <c r="R281"/>
  <c r="Q281"/>
  <c r="J281"/>
  <c r="H281"/>
  <c r="E281"/>
  <c r="D281"/>
  <c r="U280"/>
  <c r="R280"/>
  <c r="Q280"/>
  <c r="P280" s="1"/>
  <c r="J280"/>
  <c r="H280"/>
  <c r="E280"/>
  <c r="D280"/>
  <c r="U279"/>
  <c r="R279"/>
  <c r="Q279"/>
  <c r="J279"/>
  <c r="H279"/>
  <c r="E279"/>
  <c r="D279"/>
  <c r="U278"/>
  <c r="R278"/>
  <c r="Q278"/>
  <c r="J278"/>
  <c r="H278"/>
  <c r="E278"/>
  <c r="D278"/>
  <c r="U277"/>
  <c r="R277"/>
  <c r="Q277"/>
  <c r="J277"/>
  <c r="F277"/>
  <c r="H277" s="1"/>
  <c r="E277"/>
  <c r="D277"/>
  <c r="U276"/>
  <c r="R276"/>
  <c r="Q276"/>
  <c r="J276"/>
  <c r="H276"/>
  <c r="E276"/>
  <c r="D276"/>
  <c r="U275"/>
  <c r="R275"/>
  <c r="Q275"/>
  <c r="J275"/>
  <c r="I275"/>
  <c r="I513" s="1"/>
  <c r="F275"/>
  <c r="E275"/>
  <c r="D275"/>
  <c r="U274"/>
  <c r="R274"/>
  <c r="Q274"/>
  <c r="J274"/>
  <c r="H274"/>
  <c r="E274"/>
  <c r="D274"/>
  <c r="U273"/>
  <c r="R273"/>
  <c r="Q273"/>
  <c r="J273"/>
  <c r="H273"/>
  <c r="E273"/>
  <c r="D273"/>
  <c r="U272"/>
  <c r="R272"/>
  <c r="Q272"/>
  <c r="J272"/>
  <c r="H272"/>
  <c r="E272"/>
  <c r="D272"/>
  <c r="U271"/>
  <c r="R271"/>
  <c r="Q271"/>
  <c r="X271" i="3" s="1"/>
  <c r="J271" i="2"/>
  <c r="H271"/>
  <c r="E271"/>
  <c r="D271"/>
  <c r="U270"/>
  <c r="R270"/>
  <c r="Y270" i="3" s="1"/>
  <c r="Q270" i="2"/>
  <c r="J270"/>
  <c r="H270"/>
  <c r="D270"/>
  <c r="U269"/>
  <c r="R269"/>
  <c r="Q269"/>
  <c r="J269"/>
  <c r="H269"/>
  <c r="E269"/>
  <c r="D269"/>
  <c r="D269" i="3" s="1"/>
  <c r="P268" i="2"/>
  <c r="H268"/>
  <c r="C268"/>
  <c r="P267"/>
  <c r="C267"/>
  <c r="U266"/>
  <c r="R266"/>
  <c r="Q266"/>
  <c r="J266"/>
  <c r="E266"/>
  <c r="D266"/>
  <c r="U265"/>
  <c r="R265"/>
  <c r="Q265"/>
  <c r="C265"/>
  <c r="P264"/>
  <c r="C264"/>
  <c r="U263"/>
  <c r="J263"/>
  <c r="E263"/>
  <c r="D263"/>
  <c r="P262"/>
  <c r="C262"/>
  <c r="P261"/>
  <c r="C261"/>
  <c r="R260"/>
  <c r="Q260"/>
  <c r="J260"/>
  <c r="E260"/>
  <c r="E260" i="3" s="1"/>
  <c r="U259" i="2"/>
  <c r="R259"/>
  <c r="Q259"/>
  <c r="X259" i="3" s="1"/>
  <c r="J259" i="2"/>
  <c r="E259"/>
  <c r="D259"/>
  <c r="D259" i="3" s="1"/>
  <c r="U258" i="2"/>
  <c r="AB258" i="3" s="1"/>
  <c r="R258" i="2"/>
  <c r="Q258"/>
  <c r="X258" i="3" s="1"/>
  <c r="J258" i="2"/>
  <c r="J258" i="3" s="1"/>
  <c r="E258" i="2"/>
  <c r="D258"/>
  <c r="D258" i="3" s="1"/>
  <c r="U257" i="2"/>
  <c r="R257"/>
  <c r="Q257"/>
  <c r="X257" i="3" s="1"/>
  <c r="J257" i="2"/>
  <c r="E257"/>
  <c r="D257"/>
  <c r="U256"/>
  <c r="R256"/>
  <c r="Q256"/>
  <c r="J256"/>
  <c r="E256"/>
  <c r="D256"/>
  <c r="U255"/>
  <c r="R255"/>
  <c r="Q255"/>
  <c r="J255"/>
  <c r="E255"/>
  <c r="D255"/>
  <c r="U254"/>
  <c r="R254"/>
  <c r="Q254"/>
  <c r="J254"/>
  <c r="E254"/>
  <c r="D254"/>
  <c r="U253"/>
  <c r="R253"/>
  <c r="Q253"/>
  <c r="J253"/>
  <c r="C253" s="1"/>
  <c r="U252"/>
  <c r="R252"/>
  <c r="Q252"/>
  <c r="J252"/>
  <c r="E252"/>
  <c r="D252"/>
  <c r="C252" s="1"/>
  <c r="U251"/>
  <c r="R251"/>
  <c r="Q251"/>
  <c r="E251"/>
  <c r="D251"/>
  <c r="U250"/>
  <c r="R250"/>
  <c r="Q250"/>
  <c r="J250"/>
  <c r="J250" i="3" s="1"/>
  <c r="E250" i="2"/>
  <c r="E250" i="3" s="1"/>
  <c r="D250" i="2"/>
  <c r="P249"/>
  <c r="C249"/>
  <c r="P248"/>
  <c r="D248"/>
  <c r="C248" s="1"/>
  <c r="P247"/>
  <c r="C247"/>
  <c r="P246"/>
  <c r="C246"/>
  <c r="P245"/>
  <c r="C245"/>
  <c r="P244"/>
  <c r="C244"/>
  <c r="P243"/>
  <c r="C243"/>
  <c r="P242"/>
  <c r="C242"/>
  <c r="P241"/>
  <c r="C241"/>
  <c r="P240"/>
  <c r="C240"/>
  <c r="P239"/>
  <c r="C239"/>
  <c r="P238"/>
  <c r="C238"/>
  <c r="P237"/>
  <c r="C237"/>
  <c r="P236"/>
  <c r="C236"/>
  <c r="P235"/>
  <c r="C235"/>
  <c r="P234"/>
  <c r="C234"/>
  <c r="P233"/>
  <c r="C233"/>
  <c r="P232"/>
  <c r="C232"/>
  <c r="P231"/>
  <c r="C231"/>
  <c r="P230"/>
  <c r="C230"/>
  <c r="P229"/>
  <c r="C229"/>
  <c r="P228"/>
  <c r="C228"/>
  <c r="P227"/>
  <c r="C227"/>
  <c r="P226"/>
  <c r="C226"/>
  <c r="P225"/>
  <c r="C225"/>
  <c r="C329" l="1"/>
  <c r="P335"/>
  <c r="P340"/>
  <c r="P345"/>
  <c r="P347"/>
  <c r="P358"/>
  <c r="C391"/>
  <c r="C276"/>
  <c r="P355"/>
  <c r="C251"/>
  <c r="P252"/>
  <c r="C386"/>
  <c r="P386"/>
  <c r="P390"/>
  <c r="P400"/>
  <c r="P404"/>
  <c r="P408"/>
  <c r="P416"/>
  <c r="P417"/>
  <c r="P251"/>
  <c r="P275"/>
  <c r="P341"/>
  <c r="C250"/>
  <c r="R511"/>
  <c r="C255"/>
  <c r="C257"/>
  <c r="C259"/>
  <c r="P265"/>
  <c r="P274"/>
  <c r="C277"/>
  <c r="P277"/>
  <c r="C281"/>
  <c r="P281"/>
  <c r="R514"/>
  <c r="C285"/>
  <c r="P285"/>
  <c r="C289"/>
  <c r="P289"/>
  <c r="C293"/>
  <c r="P293"/>
  <c r="C297"/>
  <c r="P297"/>
  <c r="P308"/>
  <c r="C323"/>
  <c r="P329"/>
  <c r="P339"/>
  <c r="C341"/>
  <c r="C344"/>
  <c r="C348"/>
  <c r="P356"/>
  <c r="P392"/>
  <c r="C401"/>
  <c r="P401"/>
  <c r="P410"/>
  <c r="C417"/>
  <c r="C418"/>
  <c r="P422"/>
  <c r="P423"/>
  <c r="H306"/>
  <c r="H516" s="1"/>
  <c r="C324"/>
  <c r="C331"/>
  <c r="P359"/>
  <c r="C367"/>
  <c r="P367"/>
  <c r="C368"/>
  <c r="C374"/>
  <c r="P374"/>
  <c r="C300"/>
  <c r="C340"/>
  <c r="P346"/>
  <c r="C355"/>
  <c r="C357"/>
  <c r="P254"/>
  <c r="P256"/>
  <c r="U514"/>
  <c r="C304"/>
  <c r="C307"/>
  <c r="H329"/>
  <c r="C346"/>
  <c r="C359"/>
  <c r="H360"/>
  <c r="P375"/>
  <c r="C383"/>
  <c r="C408"/>
  <c r="C254"/>
  <c r="C256"/>
  <c r="C260"/>
  <c r="P272"/>
  <c r="C279"/>
  <c r="P279"/>
  <c r="J514"/>
  <c r="C283"/>
  <c r="P283"/>
  <c r="C287"/>
  <c r="P287"/>
  <c r="C291"/>
  <c r="P291"/>
  <c r="C295"/>
  <c r="P295"/>
  <c r="C299"/>
  <c r="P299"/>
  <c r="C301"/>
  <c r="P301"/>
  <c r="P304"/>
  <c r="C310"/>
  <c r="C312"/>
  <c r="C313"/>
  <c r="P313"/>
  <c r="C336"/>
  <c r="B336" s="1"/>
  <c r="B348" s="1"/>
  <c r="C338"/>
  <c r="P344"/>
  <c r="P348"/>
  <c r="C352"/>
  <c r="P352"/>
  <c r="P357"/>
  <c r="C361"/>
  <c r="P361"/>
  <c r="C365"/>
  <c r="P365"/>
  <c r="C376"/>
  <c r="P376"/>
  <c r="C377"/>
  <c r="P377"/>
  <c r="C378"/>
  <c r="J522"/>
  <c r="C379"/>
  <c r="P383"/>
  <c r="C392"/>
  <c r="C394"/>
  <c r="P394"/>
  <c r="C399"/>
  <c r="P399"/>
  <c r="C413"/>
  <c r="P413"/>
  <c r="Q525"/>
  <c r="P415"/>
  <c r="C420"/>
  <c r="X270" i="3"/>
  <c r="U515" i="2"/>
  <c r="P303"/>
  <c r="P306"/>
  <c r="P324"/>
  <c r="Y343" i="3"/>
  <c r="C345" i="2"/>
  <c r="C358"/>
  <c r="P368"/>
  <c r="C375"/>
  <c r="C400"/>
  <c r="C404"/>
  <c r="Q511"/>
  <c r="P253"/>
  <c r="P255"/>
  <c r="P257"/>
  <c r="P259"/>
  <c r="C269"/>
  <c r="C271"/>
  <c r="P278"/>
  <c r="P286"/>
  <c r="P290"/>
  <c r="P298"/>
  <c r="P309"/>
  <c r="P311"/>
  <c r="C317"/>
  <c r="P317"/>
  <c r="P330"/>
  <c r="P332"/>
  <c r="C334"/>
  <c r="P337"/>
  <c r="C342"/>
  <c r="C343"/>
  <c r="P343"/>
  <c r="C347"/>
  <c r="C356"/>
  <c r="C360"/>
  <c r="C370"/>
  <c r="P370"/>
  <c r="P379"/>
  <c r="P391"/>
  <c r="C396"/>
  <c r="P396"/>
  <c r="C397"/>
  <c r="P397"/>
  <c r="C411"/>
  <c r="P419"/>
  <c r="C423"/>
  <c r="O352"/>
  <c r="N352" s="1"/>
  <c r="B334"/>
  <c r="A334" s="1"/>
  <c r="B341"/>
  <c r="O343"/>
  <c r="N343" s="1"/>
  <c r="O347"/>
  <c r="O359" s="1"/>
  <c r="AB263" i="3"/>
  <c r="W263" s="1"/>
  <c r="P263" i="2"/>
  <c r="D274" i="3"/>
  <c r="C274" i="2"/>
  <c r="E514"/>
  <c r="E515"/>
  <c r="U430" i="3"/>
  <c r="R512" i="2"/>
  <c r="P258"/>
  <c r="D263" i="3"/>
  <c r="C263" i="2"/>
  <c r="X273" i="3"/>
  <c r="P273" i="2"/>
  <c r="E516"/>
  <c r="C306"/>
  <c r="Y354" i="3"/>
  <c r="W354" s="1"/>
  <c r="P354" i="2"/>
  <c r="U429" i="3"/>
  <c r="A429" s="1"/>
  <c r="E512" i="2"/>
  <c r="C258"/>
  <c r="D272" i="3"/>
  <c r="C272" i="2"/>
  <c r="J513"/>
  <c r="Q514"/>
  <c r="P282"/>
  <c r="Q515"/>
  <c r="P294"/>
  <c r="C305"/>
  <c r="C309"/>
  <c r="E330" i="3"/>
  <c r="C330" s="1"/>
  <c r="C330" i="2"/>
  <c r="B330" s="1"/>
  <c r="B342" s="1"/>
  <c r="J518"/>
  <c r="J519"/>
  <c r="C372"/>
  <c r="P372"/>
  <c r="C381"/>
  <c r="P381"/>
  <c r="C384"/>
  <c r="P384"/>
  <c r="C388"/>
  <c r="P388"/>
  <c r="C406"/>
  <c r="P406"/>
  <c r="C410"/>
  <c r="P411"/>
  <c r="U525"/>
  <c r="P418"/>
  <c r="P420"/>
  <c r="AD452" i="3"/>
  <c r="L455"/>
  <c r="D250"/>
  <c r="C250" s="1"/>
  <c r="U511" i="2"/>
  <c r="P260"/>
  <c r="Q513"/>
  <c r="E513"/>
  <c r="P271"/>
  <c r="F513"/>
  <c r="P276"/>
  <c r="H514"/>
  <c r="X294" i="3"/>
  <c r="P300" i="2"/>
  <c r="I515"/>
  <c r="C311"/>
  <c r="P312"/>
  <c r="C316"/>
  <c r="P316"/>
  <c r="P333"/>
  <c r="C335"/>
  <c r="C339"/>
  <c r="B339" s="1"/>
  <c r="C351"/>
  <c r="P351"/>
  <c r="O351" s="1"/>
  <c r="N351" s="1"/>
  <c r="C364"/>
  <c r="P364"/>
  <c r="C371"/>
  <c r="P371"/>
  <c r="C387"/>
  <c r="P387"/>
  <c r="C398"/>
  <c r="P398"/>
  <c r="C405"/>
  <c r="P405"/>
  <c r="C409"/>
  <c r="P409"/>
  <c r="D525"/>
  <c r="J525"/>
  <c r="C415"/>
  <c r="C416"/>
  <c r="H417"/>
  <c r="P266"/>
  <c r="C303"/>
  <c r="P310"/>
  <c r="C315"/>
  <c r="C332"/>
  <c r="B332" s="1"/>
  <c r="A332" s="1"/>
  <c r="C337"/>
  <c r="B337" s="1"/>
  <c r="A337" s="1"/>
  <c r="P350"/>
  <c r="O350" s="1"/>
  <c r="N350" s="1"/>
  <c r="P363"/>
  <c r="D513"/>
  <c r="S515"/>
  <c r="P305"/>
  <c r="C308"/>
  <c r="P315"/>
  <c r="P323"/>
  <c r="P334"/>
  <c r="P338"/>
  <c r="C350"/>
  <c r="C363"/>
  <c r="C266"/>
  <c r="P269"/>
  <c r="U513"/>
  <c r="C273"/>
  <c r="C275"/>
  <c r="C278"/>
  <c r="C280"/>
  <c r="D514"/>
  <c r="C284"/>
  <c r="C286"/>
  <c r="C288"/>
  <c r="C290"/>
  <c r="C292"/>
  <c r="C296"/>
  <c r="C298"/>
  <c r="H299"/>
  <c r="H515" s="1"/>
  <c r="C302"/>
  <c r="P302"/>
  <c r="P307"/>
  <c r="C314"/>
  <c r="P314"/>
  <c r="Y316" i="3"/>
  <c r="W319"/>
  <c r="P331" i="2"/>
  <c r="C333"/>
  <c r="B333" s="1"/>
  <c r="A333" s="1"/>
  <c r="P336"/>
  <c r="C349"/>
  <c r="P349"/>
  <c r="O349" s="1"/>
  <c r="N349" s="1"/>
  <c r="C353"/>
  <c r="P353"/>
  <c r="O353" s="1"/>
  <c r="N353" s="1"/>
  <c r="P360"/>
  <c r="H361"/>
  <c r="C362"/>
  <c r="P362"/>
  <c r="P366"/>
  <c r="C369"/>
  <c r="P369"/>
  <c r="C373"/>
  <c r="P373"/>
  <c r="C382"/>
  <c r="P382"/>
  <c r="C385"/>
  <c r="P385"/>
  <c r="C389"/>
  <c r="P389"/>
  <c r="C393"/>
  <c r="P393"/>
  <c r="C395"/>
  <c r="P395"/>
  <c r="C402"/>
  <c r="J524"/>
  <c r="C403"/>
  <c r="P403"/>
  <c r="C407"/>
  <c r="P407"/>
  <c r="C412"/>
  <c r="P412"/>
  <c r="F525"/>
  <c r="H418"/>
  <c r="C419"/>
  <c r="H420"/>
  <c r="C421"/>
  <c r="P421"/>
  <c r="AC455" i="3"/>
  <c r="H319" i="2"/>
  <c r="H517" s="1"/>
  <c r="I319" i="3"/>
  <c r="C319" s="1"/>
  <c r="H354" i="2"/>
  <c r="J354" i="3"/>
  <c r="C354" s="1"/>
  <c r="B354" s="1"/>
  <c r="A354" s="1"/>
  <c r="H366" i="2"/>
  <c r="H521" s="1"/>
  <c r="J366" i="3"/>
  <c r="C366" s="1"/>
  <c r="H390" i="2"/>
  <c r="H523" s="1"/>
  <c r="J390" i="3"/>
  <c r="C390" s="1"/>
  <c r="H414" i="2"/>
  <c r="I525"/>
  <c r="P250"/>
  <c r="C270"/>
  <c r="P270"/>
  <c r="H275"/>
  <c r="H513" s="1"/>
  <c r="C282"/>
  <c r="C294"/>
  <c r="E299" i="3"/>
  <c r="D299" s="1"/>
  <c r="E306"/>
  <c r="I306"/>
  <c r="C319" i="2"/>
  <c r="C517" s="1"/>
  <c r="P319"/>
  <c r="P517" s="1"/>
  <c r="E331" i="3"/>
  <c r="D331" s="1"/>
  <c r="Y335"/>
  <c r="X335" s="1"/>
  <c r="P342" i="2"/>
  <c r="C354"/>
  <c r="Y355" i="3"/>
  <c r="X355" s="1"/>
  <c r="C366" i="2"/>
  <c r="Y367" i="3"/>
  <c r="X367" s="1"/>
  <c r="P378" i="2"/>
  <c r="Y379" i="3"/>
  <c r="X379" s="1"/>
  <c r="C390" i="2"/>
  <c r="Y392" i="3"/>
  <c r="X392" s="1"/>
  <c r="Z394"/>
  <c r="Y394" s="1"/>
  <c r="X394" s="1"/>
  <c r="P402" i="2"/>
  <c r="C414"/>
  <c r="E525"/>
  <c r="P414"/>
  <c r="R525"/>
  <c r="H415"/>
  <c r="H416"/>
  <c r="H419"/>
  <c r="C422"/>
  <c r="C509"/>
  <c r="C510"/>
  <c r="E511"/>
  <c r="J512"/>
  <c r="Q512"/>
  <c r="U512"/>
  <c r="D515"/>
  <c r="F515"/>
  <c r="J515"/>
  <c r="D516"/>
  <c r="F516"/>
  <c r="J516"/>
  <c r="Q516"/>
  <c r="S516"/>
  <c r="U516"/>
  <c r="D517"/>
  <c r="F517"/>
  <c r="J517"/>
  <c r="Q517"/>
  <c r="S517"/>
  <c r="U517"/>
  <c r="D518"/>
  <c r="F518"/>
  <c r="Q518"/>
  <c r="S518"/>
  <c r="U518"/>
  <c r="D519"/>
  <c r="F519"/>
  <c r="Q519"/>
  <c r="S519"/>
  <c r="U519"/>
  <c r="D520"/>
  <c r="F520"/>
  <c r="J520"/>
  <c r="Q520"/>
  <c r="S520"/>
  <c r="U520"/>
  <c r="D521"/>
  <c r="F521"/>
  <c r="J521"/>
  <c r="Q521"/>
  <c r="S521"/>
  <c r="U521"/>
  <c r="D522"/>
  <c r="F522"/>
  <c r="Q522"/>
  <c r="S522"/>
  <c r="U522"/>
  <c r="D523"/>
  <c r="F523"/>
  <c r="J523"/>
  <c r="Q523"/>
  <c r="S523"/>
  <c r="U523"/>
  <c r="D524"/>
  <c r="F524"/>
  <c r="Q524"/>
  <c r="U524"/>
  <c r="E251" i="3"/>
  <c r="D251" s="1"/>
  <c r="C251" s="1"/>
  <c r="E252"/>
  <c r="D252" s="1"/>
  <c r="J253"/>
  <c r="C253" s="1"/>
  <c r="E254"/>
  <c r="D254" s="1"/>
  <c r="J255"/>
  <c r="Y255"/>
  <c r="X255" s="1"/>
  <c r="AB255"/>
  <c r="E256"/>
  <c r="D256" s="1"/>
  <c r="J257"/>
  <c r="E258"/>
  <c r="C258" s="1"/>
  <c r="J259"/>
  <c r="J260"/>
  <c r="C260" s="1"/>
  <c r="Y260"/>
  <c r="X260" s="1"/>
  <c r="W260" s="1"/>
  <c r="E263"/>
  <c r="E266"/>
  <c r="D266" s="1"/>
  <c r="E269"/>
  <c r="AB270"/>
  <c r="W270" s="1"/>
  <c r="E271"/>
  <c r="D271" s="1"/>
  <c r="J271"/>
  <c r="J273"/>
  <c r="E274"/>
  <c r="J275"/>
  <c r="I275" s="1"/>
  <c r="I447" s="1"/>
  <c r="Y275"/>
  <c r="X275" s="1"/>
  <c r="AB275"/>
  <c r="E276"/>
  <c r="D276" s="1"/>
  <c r="J278"/>
  <c r="Y278"/>
  <c r="X278" s="1"/>
  <c r="AB278"/>
  <c r="E279"/>
  <c r="D279" s="1"/>
  <c r="J280"/>
  <c r="Y280"/>
  <c r="X280" s="1"/>
  <c r="AB280"/>
  <c r="E281"/>
  <c r="D281" s="1"/>
  <c r="J282"/>
  <c r="Y282"/>
  <c r="X282" s="1"/>
  <c r="J283"/>
  <c r="Y283"/>
  <c r="X283" s="1"/>
  <c r="AB283"/>
  <c r="E284"/>
  <c r="D284" s="1"/>
  <c r="J285"/>
  <c r="Y285"/>
  <c r="X285" s="1"/>
  <c r="AB285"/>
  <c r="E286"/>
  <c r="D286" s="1"/>
  <c r="J287"/>
  <c r="Y287"/>
  <c r="X287" s="1"/>
  <c r="AB287"/>
  <c r="E288"/>
  <c r="D288" s="1"/>
  <c r="H331" i="2"/>
  <c r="H518" s="1"/>
  <c r="J331" i="3"/>
  <c r="H342" i="2"/>
  <c r="H519" s="1"/>
  <c r="J342" i="3"/>
  <c r="C342" s="1"/>
  <c r="B342" s="1"/>
  <c r="A342" s="1"/>
  <c r="H378" i="2"/>
  <c r="H522" s="1"/>
  <c r="J378" i="3"/>
  <c r="C378" s="1"/>
  <c r="H402" i="2"/>
  <c r="H524" s="1"/>
  <c r="J402" i="3"/>
  <c r="C402" s="1"/>
  <c r="X316"/>
  <c r="A330" i="2"/>
  <c r="B331"/>
  <c r="A331" s="1"/>
  <c r="A336"/>
  <c r="B338"/>
  <c r="A338" s="1"/>
  <c r="B340"/>
  <c r="A340" s="1"/>
  <c r="A341"/>
  <c r="A353" s="1"/>
  <c r="A365" s="1"/>
  <c r="X343" i="3"/>
  <c r="O344" i="2"/>
  <c r="N344" s="1"/>
  <c r="O345"/>
  <c r="N345" s="1"/>
  <c r="O346"/>
  <c r="N346" s="1"/>
  <c r="N347"/>
  <c r="O348"/>
  <c r="N348" s="1"/>
  <c r="P509"/>
  <c r="P510"/>
  <c r="D511"/>
  <c r="J511"/>
  <c r="D512"/>
  <c r="H512"/>
  <c r="R513"/>
  <c r="R515"/>
  <c r="T515"/>
  <c r="I516"/>
  <c r="R516"/>
  <c r="E517"/>
  <c r="I517"/>
  <c r="R517"/>
  <c r="T517"/>
  <c r="E518"/>
  <c r="I518"/>
  <c r="R518"/>
  <c r="T518"/>
  <c r="E519"/>
  <c r="R519"/>
  <c r="E520"/>
  <c r="R520"/>
  <c r="T520"/>
  <c r="E521"/>
  <c r="R521"/>
  <c r="T521"/>
  <c r="E522"/>
  <c r="I522"/>
  <c r="R522"/>
  <c r="T522"/>
  <c r="E523"/>
  <c r="R523"/>
  <c r="T523"/>
  <c r="E524"/>
  <c r="I524"/>
  <c r="R524"/>
  <c r="J252" i="3"/>
  <c r="J254"/>
  <c r="E255"/>
  <c r="D255" s="1"/>
  <c r="J256"/>
  <c r="Y256"/>
  <c r="X256" s="1"/>
  <c r="AB256"/>
  <c r="AE256" s="1"/>
  <c r="E257"/>
  <c r="D257" s="1"/>
  <c r="Y257"/>
  <c r="AB257"/>
  <c r="AE257" s="1"/>
  <c r="Y258"/>
  <c r="W258" s="1"/>
  <c r="Y259"/>
  <c r="AB259"/>
  <c r="AE259" s="1"/>
  <c r="J263"/>
  <c r="J266"/>
  <c r="Y266"/>
  <c r="X266" s="1"/>
  <c r="AB266"/>
  <c r="J269"/>
  <c r="Y269"/>
  <c r="X269" s="1"/>
  <c r="AB269"/>
  <c r="D270"/>
  <c r="J270"/>
  <c r="Y271"/>
  <c r="AB271"/>
  <c r="Y272"/>
  <c r="X272" s="1"/>
  <c r="AB272"/>
  <c r="E273"/>
  <c r="D273" s="1"/>
  <c r="Y273"/>
  <c r="AB273"/>
  <c r="J274"/>
  <c r="Y274"/>
  <c r="X274" s="1"/>
  <c r="AB274"/>
  <c r="F275"/>
  <c r="E275" s="1"/>
  <c r="D275" s="1"/>
  <c r="J276"/>
  <c r="Y276"/>
  <c r="X276" s="1"/>
  <c r="AB276"/>
  <c r="F277"/>
  <c r="E277" s="1"/>
  <c r="D277" s="1"/>
  <c r="J277"/>
  <c r="Y277"/>
  <c r="X277" s="1"/>
  <c r="AB277"/>
  <c r="E278"/>
  <c r="D278" s="1"/>
  <c r="J279"/>
  <c r="Y279"/>
  <c r="X279" s="1"/>
  <c r="AB279"/>
  <c r="E280"/>
  <c r="D280" s="1"/>
  <c r="J281"/>
  <c r="Y281"/>
  <c r="X281" s="1"/>
  <c r="AB281"/>
  <c r="E282"/>
  <c r="D282" s="1"/>
  <c r="AB282"/>
  <c r="E283"/>
  <c r="D283" s="1"/>
  <c r="J284"/>
  <c r="Y284"/>
  <c r="X284" s="1"/>
  <c r="AB284"/>
  <c r="E285"/>
  <c r="D285" s="1"/>
  <c r="J286"/>
  <c r="Y286"/>
  <c r="X286" s="1"/>
  <c r="AB286"/>
  <c r="E287"/>
  <c r="D287" s="1"/>
  <c r="J288"/>
  <c r="Y288"/>
  <c r="X288" s="1"/>
  <c r="AB288"/>
  <c r="E289"/>
  <c r="D289" s="1"/>
  <c r="J290"/>
  <c r="Y290"/>
  <c r="X290" s="1"/>
  <c r="AB290"/>
  <c r="E291"/>
  <c r="D291" s="1"/>
  <c r="J292"/>
  <c r="Y292"/>
  <c r="X292" s="1"/>
  <c r="AB292"/>
  <c r="E293"/>
  <c r="D293" s="1"/>
  <c r="E294"/>
  <c r="C294" s="1"/>
  <c r="J295"/>
  <c r="Y295"/>
  <c r="X295" s="1"/>
  <c r="AB295"/>
  <c r="E296"/>
  <c r="D296" s="1"/>
  <c r="J297"/>
  <c r="Y297"/>
  <c r="X297" s="1"/>
  <c r="AB297"/>
  <c r="E298"/>
  <c r="D298" s="1"/>
  <c r="J299"/>
  <c r="Z299"/>
  <c r="Y299" s="1"/>
  <c r="X299" s="1"/>
  <c r="J300"/>
  <c r="Y300"/>
  <c r="X300" s="1"/>
  <c r="AB300"/>
  <c r="F301"/>
  <c r="E301" s="1"/>
  <c r="D301" s="1"/>
  <c r="J301"/>
  <c r="Y301"/>
  <c r="X301" s="1"/>
  <c r="AB301"/>
  <c r="F302"/>
  <c r="E302" s="1"/>
  <c r="D302" s="1"/>
  <c r="J302"/>
  <c r="Y302"/>
  <c r="X302" s="1"/>
  <c r="AB302"/>
  <c r="F303"/>
  <c r="E303" s="1"/>
  <c r="D303" s="1"/>
  <c r="J304"/>
  <c r="I304" s="1"/>
  <c r="AB304"/>
  <c r="AA304" s="1"/>
  <c r="Z304" s="1"/>
  <c r="Y304" s="1"/>
  <c r="X304" s="1"/>
  <c r="W304" s="1"/>
  <c r="F305"/>
  <c r="E305" s="1"/>
  <c r="D305" s="1"/>
  <c r="AB305"/>
  <c r="AA305" s="1"/>
  <c r="J307"/>
  <c r="I307" s="1"/>
  <c r="Y307"/>
  <c r="X307" s="1"/>
  <c r="AB307"/>
  <c r="F308"/>
  <c r="E308" s="1"/>
  <c r="D308" s="1"/>
  <c r="J310"/>
  <c r="Y310"/>
  <c r="X310" s="1"/>
  <c r="AB310"/>
  <c r="F311"/>
  <c r="E311" s="1"/>
  <c r="D311" s="1"/>
  <c r="J312"/>
  <c r="I312" s="1"/>
  <c r="Y312"/>
  <c r="X312" s="1"/>
  <c r="AB312"/>
  <c r="F313"/>
  <c r="E313" s="1"/>
  <c r="D313" s="1"/>
  <c r="J313"/>
  <c r="Y313"/>
  <c r="X313" s="1"/>
  <c r="AB313"/>
  <c r="F314"/>
  <c r="E314" s="1"/>
  <c r="D314" s="1"/>
  <c r="J314"/>
  <c r="Y314"/>
  <c r="X314" s="1"/>
  <c r="AB314"/>
  <c r="F315"/>
  <c r="E315" s="1"/>
  <c r="D315" s="1"/>
  <c r="J315"/>
  <c r="Y315"/>
  <c r="X315" s="1"/>
  <c r="AB315"/>
  <c r="F316"/>
  <c r="E316" s="1"/>
  <c r="D316" s="1"/>
  <c r="J316"/>
  <c r="AB316"/>
  <c r="F317"/>
  <c r="E317" s="1"/>
  <c r="D317" s="1"/>
  <c r="J317"/>
  <c r="Y317"/>
  <c r="X317" s="1"/>
  <c r="AB317"/>
  <c r="J323"/>
  <c r="Y323"/>
  <c r="X323" s="1"/>
  <c r="Y331"/>
  <c r="X331" s="1"/>
  <c r="AB331"/>
  <c r="F332"/>
  <c r="E332" s="1"/>
  <c r="D332" s="1"/>
  <c r="J332"/>
  <c r="Y332"/>
  <c r="X332" s="1"/>
  <c r="AB332"/>
  <c r="F333"/>
  <c r="E333" s="1"/>
  <c r="D333" s="1"/>
  <c r="J333"/>
  <c r="Y333"/>
  <c r="X333" s="1"/>
  <c r="AB333"/>
  <c r="F334"/>
  <c r="E334" s="1"/>
  <c r="D334" s="1"/>
  <c r="J334"/>
  <c r="Y334"/>
  <c r="X334" s="1"/>
  <c r="AB334"/>
  <c r="F335"/>
  <c r="E335" s="1"/>
  <c r="D335" s="1"/>
  <c r="J335"/>
  <c r="AB335"/>
  <c r="F336"/>
  <c r="E336" s="1"/>
  <c r="D336" s="1"/>
  <c r="J337"/>
  <c r="I337" s="1"/>
  <c r="Y337"/>
  <c r="X337" s="1"/>
  <c r="AB337"/>
  <c r="F338"/>
  <c r="E338" s="1"/>
  <c r="D338" s="1"/>
  <c r="J339"/>
  <c r="I339" s="1"/>
  <c r="Y339"/>
  <c r="X339" s="1"/>
  <c r="AB339"/>
  <c r="F340"/>
  <c r="E340" s="1"/>
  <c r="D340" s="1"/>
  <c r="J340"/>
  <c r="Y340"/>
  <c r="X340" s="1"/>
  <c r="AB340"/>
  <c r="F341"/>
  <c r="E341" s="1"/>
  <c r="D341" s="1"/>
  <c r="J341"/>
  <c r="Y341"/>
  <c r="X341" s="1"/>
  <c r="AB341"/>
  <c r="AB348"/>
  <c r="F349"/>
  <c r="E349" s="1"/>
  <c r="D349" s="1"/>
  <c r="J349"/>
  <c r="Y349"/>
  <c r="X349" s="1"/>
  <c r="AB349"/>
  <c r="F350"/>
  <c r="E350" s="1"/>
  <c r="D350" s="1"/>
  <c r="J350"/>
  <c r="Y350"/>
  <c r="X350" s="1"/>
  <c r="AB350"/>
  <c r="F351"/>
  <c r="E351" s="1"/>
  <c r="D351" s="1"/>
  <c r="J351"/>
  <c r="Y351"/>
  <c r="X351" s="1"/>
  <c r="AB351"/>
  <c r="F352"/>
  <c r="E352" s="1"/>
  <c r="D352" s="1"/>
  <c r="J352"/>
  <c r="Y352"/>
  <c r="X352" s="1"/>
  <c r="AB352"/>
  <c r="F353"/>
  <c r="E353" s="1"/>
  <c r="D353" s="1"/>
  <c r="J353"/>
  <c r="Y353"/>
  <c r="X353" s="1"/>
  <c r="AB353"/>
  <c r="AB360"/>
  <c r="J361"/>
  <c r="Y361"/>
  <c r="X361" s="1"/>
  <c r="AB361"/>
  <c r="F362"/>
  <c r="E362" s="1"/>
  <c r="D362" s="1"/>
  <c r="J362"/>
  <c r="Y362"/>
  <c r="X362" s="1"/>
  <c r="AB362"/>
  <c r="F363"/>
  <c r="E363" s="1"/>
  <c r="D363" s="1"/>
  <c r="J363"/>
  <c r="Y363"/>
  <c r="X363" s="1"/>
  <c r="AB363"/>
  <c r="F364"/>
  <c r="E364" s="1"/>
  <c r="D364" s="1"/>
  <c r="J364"/>
  <c r="Y364"/>
  <c r="X364" s="1"/>
  <c r="AB364"/>
  <c r="F365"/>
  <c r="E365" s="1"/>
  <c r="D365" s="1"/>
  <c r="J365"/>
  <c r="Y365"/>
  <c r="X365" s="1"/>
  <c r="AB365"/>
  <c r="J368"/>
  <c r="Y368"/>
  <c r="X368" s="1"/>
  <c r="AB368"/>
  <c r="F369"/>
  <c r="E369" s="1"/>
  <c r="D369" s="1"/>
  <c r="J369"/>
  <c r="Y369"/>
  <c r="X369" s="1"/>
  <c r="AB369"/>
  <c r="F370"/>
  <c r="E370" s="1"/>
  <c r="D370" s="1"/>
  <c r="J370"/>
  <c r="Y370"/>
  <c r="X370" s="1"/>
  <c r="AB370"/>
  <c r="F371"/>
  <c r="E371" s="1"/>
  <c r="D371" s="1"/>
  <c r="J371"/>
  <c r="Y371"/>
  <c r="X371" s="1"/>
  <c r="AB371"/>
  <c r="F372"/>
  <c r="E372" s="1"/>
  <c r="D372" s="1"/>
  <c r="J372"/>
  <c r="Y372"/>
  <c r="X372" s="1"/>
  <c r="AB372"/>
  <c r="F373"/>
  <c r="E373" s="1"/>
  <c r="D373" s="1"/>
  <c r="J373"/>
  <c r="Z373"/>
  <c r="Y373" s="1"/>
  <c r="X373" s="1"/>
  <c r="AB376"/>
  <c r="F377"/>
  <c r="E377" s="1"/>
  <c r="D377" s="1"/>
  <c r="J377"/>
  <c r="Y377"/>
  <c r="X377" s="1"/>
  <c r="F379"/>
  <c r="E379" s="1"/>
  <c r="D379" s="1"/>
  <c r="J379"/>
  <c r="AB379"/>
  <c r="J383"/>
  <c r="I383" s="1"/>
  <c r="Z383"/>
  <c r="Y383" s="1"/>
  <c r="X383" s="1"/>
  <c r="W383" s="1"/>
  <c r="F391"/>
  <c r="E391" s="1"/>
  <c r="D391" s="1"/>
  <c r="J391"/>
  <c r="Y391"/>
  <c r="X391" s="1"/>
  <c r="AB391"/>
  <c r="F392"/>
  <c r="E392" s="1"/>
  <c r="D392" s="1"/>
  <c r="J392"/>
  <c r="AB392"/>
  <c r="F393"/>
  <c r="J393"/>
  <c r="Y393"/>
  <c r="X393" s="1"/>
  <c r="AB393"/>
  <c r="F394"/>
  <c r="J394"/>
  <c r="AB395"/>
  <c r="F396"/>
  <c r="E396" s="1"/>
  <c r="D396" s="1"/>
  <c r="J396"/>
  <c r="Z396"/>
  <c r="Y396" s="1"/>
  <c r="X396" s="1"/>
  <c r="AB398"/>
  <c r="AA398" s="1"/>
  <c r="F399"/>
  <c r="E399" s="1"/>
  <c r="D399" s="1"/>
  <c r="J399"/>
  <c r="Y399"/>
  <c r="X399" s="1"/>
  <c r="AB399"/>
  <c r="F400"/>
  <c r="E400" s="1"/>
  <c r="D400" s="1"/>
  <c r="J400"/>
  <c r="Y400"/>
  <c r="X400" s="1"/>
  <c r="AB400"/>
  <c r="F401"/>
  <c r="E401" s="1"/>
  <c r="D401" s="1"/>
  <c r="J401"/>
  <c r="Y401"/>
  <c r="X401" s="1"/>
  <c r="AB401"/>
  <c r="J411"/>
  <c r="I411" s="1"/>
  <c r="Y411"/>
  <c r="X411" s="1"/>
  <c r="AB411"/>
  <c r="F412"/>
  <c r="E412" s="1"/>
  <c r="D412" s="1"/>
  <c r="J412"/>
  <c r="Y412"/>
  <c r="X412" s="1"/>
  <c r="AB412"/>
  <c r="F413"/>
  <c r="E413" s="1"/>
  <c r="D413" s="1"/>
  <c r="J413"/>
  <c r="Y413"/>
  <c r="X413" s="1"/>
  <c r="AB413"/>
  <c r="J289"/>
  <c r="Y289"/>
  <c r="X289" s="1"/>
  <c r="AB289"/>
  <c r="E290"/>
  <c r="D290" s="1"/>
  <c r="C290" s="1"/>
  <c r="J291"/>
  <c r="Y291"/>
  <c r="X291" s="1"/>
  <c r="AB291"/>
  <c r="E292"/>
  <c r="D292" s="1"/>
  <c r="C292" s="1"/>
  <c r="J293"/>
  <c r="Y293"/>
  <c r="X293" s="1"/>
  <c r="AB293"/>
  <c r="AB294"/>
  <c r="E295"/>
  <c r="D295" s="1"/>
  <c r="C295" s="1"/>
  <c r="J296"/>
  <c r="Y296"/>
  <c r="X296" s="1"/>
  <c r="AB296"/>
  <c r="E297"/>
  <c r="D297" s="1"/>
  <c r="C297" s="1"/>
  <c r="J298"/>
  <c r="Y298"/>
  <c r="X298" s="1"/>
  <c r="AB298"/>
  <c r="AB299"/>
  <c r="E300"/>
  <c r="D300" s="1"/>
  <c r="J303"/>
  <c r="I303" s="1"/>
  <c r="Y303"/>
  <c r="X303" s="1"/>
  <c r="AB303"/>
  <c r="F304"/>
  <c r="E304" s="1"/>
  <c r="D304" s="1"/>
  <c r="J305"/>
  <c r="I305" s="1"/>
  <c r="Y305"/>
  <c r="X305" s="1"/>
  <c r="F307"/>
  <c r="E307" s="1"/>
  <c r="D307" s="1"/>
  <c r="J308"/>
  <c r="I308" s="1"/>
  <c r="Y308"/>
  <c r="X308" s="1"/>
  <c r="AB308"/>
  <c r="F309"/>
  <c r="E309" s="1"/>
  <c r="D309" s="1"/>
  <c r="J309"/>
  <c r="Y309"/>
  <c r="X309" s="1"/>
  <c r="AB309"/>
  <c r="E310"/>
  <c r="D310" s="1"/>
  <c r="J311"/>
  <c r="I311" s="1"/>
  <c r="Y311"/>
  <c r="X311" s="1"/>
  <c r="AB311"/>
  <c r="F312"/>
  <c r="E312" s="1"/>
  <c r="D312" s="1"/>
  <c r="E323"/>
  <c r="D323" s="1"/>
  <c r="AB323"/>
  <c r="AA323" s="1"/>
  <c r="F324"/>
  <c r="E324" s="1"/>
  <c r="D324" s="1"/>
  <c r="J324"/>
  <c r="Y324"/>
  <c r="X324" s="1"/>
  <c r="AB324"/>
  <c r="F329"/>
  <c r="E329" s="1"/>
  <c r="D329" s="1"/>
  <c r="J329"/>
  <c r="Y329"/>
  <c r="X329" s="1"/>
  <c r="AB329"/>
  <c r="J336"/>
  <c r="I336" s="1"/>
  <c r="Y336"/>
  <c r="X336" s="1"/>
  <c r="AB336"/>
  <c r="F337"/>
  <c r="J338"/>
  <c r="I338" s="1"/>
  <c r="Y338"/>
  <c r="X338" s="1"/>
  <c r="AB338"/>
  <c r="F339"/>
  <c r="E339" s="1"/>
  <c r="D339" s="1"/>
  <c r="F343"/>
  <c r="E343" s="1"/>
  <c r="D343" s="1"/>
  <c r="J343"/>
  <c r="AB343"/>
  <c r="F344"/>
  <c r="E344" s="1"/>
  <c r="D344" s="1"/>
  <c r="J344"/>
  <c r="Y344"/>
  <c r="X344" s="1"/>
  <c r="AB344"/>
  <c r="F345"/>
  <c r="E345" s="1"/>
  <c r="D345" s="1"/>
  <c r="J345"/>
  <c r="Y345"/>
  <c r="X345" s="1"/>
  <c r="AB345"/>
  <c r="F346"/>
  <c r="E346" s="1"/>
  <c r="D346" s="1"/>
  <c r="J346"/>
  <c r="Y346"/>
  <c r="X346" s="1"/>
  <c r="AB346"/>
  <c r="F347"/>
  <c r="E347" s="1"/>
  <c r="D347" s="1"/>
  <c r="J347"/>
  <c r="Y347"/>
  <c r="X347" s="1"/>
  <c r="AB347"/>
  <c r="F348"/>
  <c r="E348" s="1"/>
  <c r="D348" s="1"/>
  <c r="J348"/>
  <c r="Z348"/>
  <c r="Y348" s="1"/>
  <c r="X348" s="1"/>
  <c r="F355"/>
  <c r="E355" s="1"/>
  <c r="D355" s="1"/>
  <c r="J355"/>
  <c r="AB355"/>
  <c r="F356"/>
  <c r="E356" s="1"/>
  <c r="D356" s="1"/>
  <c r="J356"/>
  <c r="Y356"/>
  <c r="X356" s="1"/>
  <c r="AB356"/>
  <c r="F357"/>
  <c r="E357" s="1"/>
  <c r="D357" s="1"/>
  <c r="J357"/>
  <c r="Y357"/>
  <c r="X357" s="1"/>
  <c r="AB357"/>
  <c r="F358"/>
  <c r="E358" s="1"/>
  <c r="D358" s="1"/>
  <c r="J358"/>
  <c r="Y358"/>
  <c r="X358" s="1"/>
  <c r="AB358"/>
  <c r="F359"/>
  <c r="E359" s="1"/>
  <c r="D359" s="1"/>
  <c r="J359"/>
  <c r="Y359"/>
  <c r="X359" s="1"/>
  <c r="AB359"/>
  <c r="J360"/>
  <c r="Z360"/>
  <c r="F367"/>
  <c r="E367" s="1"/>
  <c r="D367" s="1"/>
  <c r="J367"/>
  <c r="AB367"/>
  <c r="E368"/>
  <c r="D368" s="1"/>
  <c r="AB373"/>
  <c r="F374"/>
  <c r="E374" s="1"/>
  <c r="D374" s="1"/>
  <c r="J374"/>
  <c r="AB374"/>
  <c r="AA374" s="1"/>
  <c r="Z374" s="1"/>
  <c r="Y374" s="1"/>
  <c r="X374" s="1"/>
  <c r="W374" s="1"/>
  <c r="F375"/>
  <c r="E375" s="1"/>
  <c r="D375" s="1"/>
  <c r="J375"/>
  <c r="AB375"/>
  <c r="AA375" s="1"/>
  <c r="Z375" s="1"/>
  <c r="Y375" s="1"/>
  <c r="X375" s="1"/>
  <c r="W375" s="1"/>
  <c r="F376"/>
  <c r="E376" s="1"/>
  <c r="D376" s="1"/>
  <c r="J376"/>
  <c r="Z376"/>
  <c r="Y376" s="1"/>
  <c r="X376" s="1"/>
  <c r="AB377"/>
  <c r="AA377" s="1"/>
  <c r="F381"/>
  <c r="E381" s="1"/>
  <c r="D381" s="1"/>
  <c r="J381"/>
  <c r="Y381"/>
  <c r="X381" s="1"/>
  <c r="AB381"/>
  <c r="F382"/>
  <c r="E382" s="1"/>
  <c r="D382" s="1"/>
  <c r="J382"/>
  <c r="Y382"/>
  <c r="X382" s="1"/>
  <c r="AB382"/>
  <c r="F383"/>
  <c r="E383" s="1"/>
  <c r="D383" s="1"/>
  <c r="C383" s="1"/>
  <c r="AB383"/>
  <c r="F384"/>
  <c r="E384" s="1"/>
  <c r="D384" s="1"/>
  <c r="J384"/>
  <c r="Y384"/>
  <c r="X384" s="1"/>
  <c r="AB384"/>
  <c r="F385"/>
  <c r="E385" s="1"/>
  <c r="D385" s="1"/>
  <c r="J385"/>
  <c r="Y385"/>
  <c r="X385" s="1"/>
  <c r="AB385"/>
  <c r="F386"/>
  <c r="E386" s="1"/>
  <c r="D386" s="1"/>
  <c r="J386"/>
  <c r="Y386"/>
  <c r="X386" s="1"/>
  <c r="AB386"/>
  <c r="F387"/>
  <c r="E387" s="1"/>
  <c r="D387" s="1"/>
  <c r="J387"/>
  <c r="Y387"/>
  <c r="X387" s="1"/>
  <c r="AB387"/>
  <c r="F388"/>
  <c r="E388" s="1"/>
  <c r="D388" s="1"/>
  <c r="J388"/>
  <c r="Y388"/>
  <c r="X388" s="1"/>
  <c r="AB388"/>
  <c r="F389"/>
  <c r="E389" s="1"/>
  <c r="D389" s="1"/>
  <c r="J389"/>
  <c r="Y389"/>
  <c r="X389" s="1"/>
  <c r="AB389"/>
  <c r="AB394"/>
  <c r="F395"/>
  <c r="E395" s="1"/>
  <c r="D395" s="1"/>
  <c r="J395"/>
  <c r="Z395"/>
  <c r="Y395" s="1"/>
  <c r="X395" s="1"/>
  <c r="AB396"/>
  <c r="F397"/>
  <c r="E397" s="1"/>
  <c r="D397" s="1"/>
  <c r="J397"/>
  <c r="Y397"/>
  <c r="X397" s="1"/>
  <c r="AB397"/>
  <c r="F398"/>
  <c r="E398" s="1"/>
  <c r="D398" s="1"/>
  <c r="J398"/>
  <c r="Y398"/>
  <c r="X398" s="1"/>
  <c r="F403"/>
  <c r="E403" s="1"/>
  <c r="D403" s="1"/>
  <c r="J403"/>
  <c r="Y403"/>
  <c r="X403" s="1"/>
  <c r="AB403"/>
  <c r="F404"/>
  <c r="E404" s="1"/>
  <c r="D404" s="1"/>
  <c r="J404"/>
  <c r="Y404"/>
  <c r="X404" s="1"/>
  <c r="AB404"/>
  <c r="F405"/>
  <c r="E405" s="1"/>
  <c r="D405" s="1"/>
  <c r="J405"/>
  <c r="Y405"/>
  <c r="X405" s="1"/>
  <c r="AB405"/>
  <c r="F406"/>
  <c r="E406" s="1"/>
  <c r="D406" s="1"/>
  <c r="J406"/>
  <c r="Y406"/>
  <c r="X406" s="1"/>
  <c r="AB406"/>
  <c r="F407"/>
  <c r="E407" s="1"/>
  <c r="D407" s="1"/>
  <c r="J407"/>
  <c r="Y407"/>
  <c r="X407" s="1"/>
  <c r="AB407"/>
  <c r="F408"/>
  <c r="E408" s="1"/>
  <c r="D408" s="1"/>
  <c r="J408"/>
  <c r="Y408"/>
  <c r="X408" s="1"/>
  <c r="AB408"/>
  <c r="F409"/>
  <c r="E409" s="1"/>
  <c r="D409" s="1"/>
  <c r="J409"/>
  <c r="Y409"/>
  <c r="X409" s="1"/>
  <c r="AB409"/>
  <c r="F410"/>
  <c r="E410" s="1"/>
  <c r="D410" s="1"/>
  <c r="J410"/>
  <c r="Y410"/>
  <c r="X410" s="1"/>
  <c r="AB410"/>
  <c r="F411"/>
  <c r="E411" s="1"/>
  <c r="D411" s="1"/>
  <c r="K444"/>
  <c r="AD444"/>
  <c r="W244"/>
  <c r="L446"/>
  <c r="AD446"/>
  <c r="G447"/>
  <c r="K449"/>
  <c r="AD449"/>
  <c r="L450"/>
  <c r="C325"/>
  <c r="K452"/>
  <c r="I454"/>
  <c r="W325"/>
  <c r="C327"/>
  <c r="W327"/>
  <c r="W330"/>
  <c r="K451"/>
  <c r="W318"/>
  <c r="AD451"/>
  <c r="W326"/>
  <c r="G451"/>
  <c r="C320"/>
  <c r="C326"/>
  <c r="C328"/>
  <c r="G452"/>
  <c r="AD454"/>
  <c r="W320"/>
  <c r="C322"/>
  <c r="W322"/>
  <c r="W402"/>
  <c r="D443"/>
  <c r="F443"/>
  <c r="K443"/>
  <c r="X443"/>
  <c r="Z443"/>
  <c r="L445"/>
  <c r="AC445"/>
  <c r="W262"/>
  <c r="C264"/>
  <c r="W268"/>
  <c r="L447"/>
  <c r="Z447"/>
  <c r="AD448"/>
  <c r="W306"/>
  <c r="AD450"/>
  <c r="AE244"/>
  <c r="AE247"/>
  <c r="C243"/>
  <c r="L443"/>
  <c r="AC443"/>
  <c r="W228"/>
  <c r="W232"/>
  <c r="D444"/>
  <c r="F444"/>
  <c r="J444"/>
  <c r="L444"/>
  <c r="Y444"/>
  <c r="AA444"/>
  <c r="AC444"/>
  <c r="C235"/>
  <c r="AE234" s="1"/>
  <c r="W235"/>
  <c r="C237"/>
  <c r="AE236" s="1"/>
  <c r="C239"/>
  <c r="C241"/>
  <c r="W241"/>
  <c r="C244"/>
  <c r="C245"/>
  <c r="W245"/>
  <c r="G445"/>
  <c r="I445"/>
  <c r="K445"/>
  <c r="AD445"/>
  <c r="K446"/>
  <c r="AC446"/>
  <c r="G448"/>
  <c r="I448"/>
  <c r="L448"/>
  <c r="Z448"/>
  <c r="L453"/>
  <c r="AA453"/>
  <c r="AC453"/>
  <c r="L454"/>
  <c r="W378"/>
  <c r="E443"/>
  <c r="G443"/>
  <c r="J443"/>
  <c r="Y443"/>
  <c r="AA443"/>
  <c r="C226"/>
  <c r="W226"/>
  <c r="C228"/>
  <c r="AE227" s="1"/>
  <c r="C229"/>
  <c r="C231"/>
  <c r="W231"/>
  <c r="E444"/>
  <c r="G444"/>
  <c r="I444"/>
  <c r="X444"/>
  <c r="Z444"/>
  <c r="AB444"/>
  <c r="C240"/>
  <c r="W240"/>
  <c r="C246"/>
  <c r="W247"/>
  <c r="C249"/>
  <c r="G446"/>
  <c r="I446"/>
  <c r="AA446"/>
  <c r="C261"/>
  <c r="AA448"/>
  <c r="G449"/>
  <c r="AB443"/>
  <c r="AD443"/>
  <c r="C230"/>
  <c r="AE229" s="1"/>
  <c r="W230"/>
  <c r="C232"/>
  <c r="C233"/>
  <c r="C242"/>
  <c r="L449"/>
  <c r="G450"/>
  <c r="AA450"/>
  <c r="L451"/>
  <c r="W321"/>
  <c r="W237"/>
  <c r="W239"/>
  <c r="W246"/>
  <c r="C247"/>
  <c r="C262"/>
  <c r="C268"/>
  <c r="I455"/>
  <c r="W225"/>
  <c r="C227"/>
  <c r="AE226" s="1"/>
  <c r="W227"/>
  <c r="AE232"/>
  <c r="W233"/>
  <c r="C236"/>
  <c r="AE235" s="1"/>
  <c r="W236"/>
  <c r="C238"/>
  <c r="W238"/>
  <c r="AE243"/>
  <c r="AE258"/>
  <c r="W261"/>
  <c r="C265"/>
  <c r="C267"/>
  <c r="W267"/>
  <c r="AA447"/>
  <c r="AD447"/>
  <c r="A21" i="5"/>
  <c r="AE228" i="3"/>
  <c r="W229"/>
  <c r="AE230"/>
  <c r="AE237"/>
  <c r="AE240"/>
  <c r="AE241"/>
  <c r="W242"/>
  <c r="AE242"/>
  <c r="W243"/>
  <c r="K450"/>
  <c r="Z450"/>
  <c r="AC450"/>
  <c r="C318"/>
  <c r="AC451"/>
  <c r="C321"/>
  <c r="W328"/>
  <c r="L452"/>
  <c r="AC452"/>
  <c r="G453"/>
  <c r="I453"/>
  <c r="K453"/>
  <c r="W342"/>
  <c r="V342" s="1"/>
  <c r="U342" s="1"/>
  <c r="AD453"/>
  <c r="G454"/>
  <c r="K454"/>
  <c r="AC454"/>
  <c r="G455"/>
  <c r="K455"/>
  <c r="W366"/>
  <c r="AD455"/>
  <c r="C380"/>
  <c r="W380"/>
  <c r="W390"/>
  <c r="C225"/>
  <c r="C234"/>
  <c r="W234"/>
  <c r="AE245"/>
  <c r="AE246"/>
  <c r="K447"/>
  <c r="F448"/>
  <c r="K448"/>
  <c r="AC448"/>
  <c r="AC449"/>
  <c r="AE225"/>
  <c r="AE238"/>
  <c r="AE239"/>
  <c r="I443"/>
  <c r="F446"/>
  <c r="AC447"/>
  <c r="I451" l="1"/>
  <c r="O357" i="2"/>
  <c r="N357" s="1"/>
  <c r="B346"/>
  <c r="A346" s="1"/>
  <c r="P513"/>
  <c r="B344"/>
  <c r="A344" s="1"/>
  <c r="C408" i="3"/>
  <c r="I449"/>
  <c r="W379"/>
  <c r="W310"/>
  <c r="C282"/>
  <c r="C280"/>
  <c r="C278"/>
  <c r="C275"/>
  <c r="P515" i="2"/>
  <c r="F447" i="3"/>
  <c r="C287"/>
  <c r="C285"/>
  <c r="C273"/>
  <c r="W407"/>
  <c r="C298"/>
  <c r="C352"/>
  <c r="B352" s="1"/>
  <c r="A352" s="1"/>
  <c r="W286"/>
  <c r="W256"/>
  <c r="B345" i="2"/>
  <c r="A345" s="1"/>
  <c r="C511"/>
  <c r="O362"/>
  <c r="C385" i="3"/>
  <c r="C384"/>
  <c r="W359"/>
  <c r="W358"/>
  <c r="W356"/>
  <c r="V356" s="1"/>
  <c r="U356" s="1"/>
  <c r="W311"/>
  <c r="W412"/>
  <c r="W401"/>
  <c r="C377"/>
  <c r="C370"/>
  <c r="W333"/>
  <c r="W300"/>
  <c r="W277"/>
  <c r="C255"/>
  <c r="O358" i="2"/>
  <c r="N358" s="1"/>
  <c r="P511"/>
  <c r="B349"/>
  <c r="A349" s="1"/>
  <c r="P518"/>
  <c r="P514"/>
  <c r="I452" i="3"/>
  <c r="W396"/>
  <c r="C338"/>
  <c r="C336"/>
  <c r="C279"/>
  <c r="W394"/>
  <c r="W397"/>
  <c r="C348"/>
  <c r="B348" s="1"/>
  <c r="A348" s="1"/>
  <c r="C344"/>
  <c r="B344" s="1"/>
  <c r="A344" s="1"/>
  <c r="W296"/>
  <c r="W391"/>
  <c r="W363"/>
  <c r="V363" s="1"/>
  <c r="U363" s="1"/>
  <c r="W339"/>
  <c r="W317"/>
  <c r="A348" i="2"/>
  <c r="O364"/>
  <c r="C359" i="3"/>
  <c r="B359" s="1"/>
  <c r="A359" s="1"/>
  <c r="C356"/>
  <c r="C412"/>
  <c r="W393"/>
  <c r="C306"/>
  <c r="P523" i="2"/>
  <c r="P520"/>
  <c r="C519"/>
  <c r="P516"/>
  <c r="C375" i="3"/>
  <c r="B375" s="1"/>
  <c r="A375" s="1"/>
  <c r="W357"/>
  <c r="C347"/>
  <c r="B347" s="1"/>
  <c r="A347" s="1"/>
  <c r="C345"/>
  <c r="B345" s="1"/>
  <c r="A345" s="1"/>
  <c r="W308"/>
  <c r="C379"/>
  <c r="W364"/>
  <c r="W361"/>
  <c r="V361" s="1"/>
  <c r="U361" s="1"/>
  <c r="W352"/>
  <c r="V352" s="1"/>
  <c r="U352" s="1"/>
  <c r="W350"/>
  <c r="V350" s="1"/>
  <c r="U350" s="1"/>
  <c r="W334"/>
  <c r="W332"/>
  <c r="W279"/>
  <c r="W276"/>
  <c r="C524" i="2"/>
  <c r="Z449" i="3"/>
  <c r="W329"/>
  <c r="W324"/>
  <c r="C296"/>
  <c r="W291"/>
  <c r="C400"/>
  <c r="C399"/>
  <c r="B399" s="1"/>
  <c r="A399" s="1"/>
  <c r="W392"/>
  <c r="W372"/>
  <c r="W369"/>
  <c r="W337"/>
  <c r="C315"/>
  <c r="C314"/>
  <c r="W297"/>
  <c r="C269"/>
  <c r="O356" i="2"/>
  <c r="N356" s="1"/>
  <c r="W280" i="3"/>
  <c r="W275"/>
  <c r="D446"/>
  <c r="B353" i="2"/>
  <c r="B365" s="1"/>
  <c r="B377" s="1"/>
  <c r="B389" s="1"/>
  <c r="O363"/>
  <c r="C512"/>
  <c r="P521"/>
  <c r="C367" i="3"/>
  <c r="C346"/>
  <c r="B346" s="1"/>
  <c r="A346" s="1"/>
  <c r="W309"/>
  <c r="W298"/>
  <c r="W413"/>
  <c r="W411"/>
  <c r="W365"/>
  <c r="V365" s="1"/>
  <c r="U365" s="1"/>
  <c r="W362"/>
  <c r="V362" s="1"/>
  <c r="U362" s="1"/>
  <c r="W353"/>
  <c r="V353" s="1"/>
  <c r="U353" s="1"/>
  <c r="W351"/>
  <c r="V351" s="1"/>
  <c r="U351" s="1"/>
  <c r="W349"/>
  <c r="V349" s="1"/>
  <c r="U349" s="1"/>
  <c r="W331"/>
  <c r="W281"/>
  <c r="W274"/>
  <c r="Y448"/>
  <c r="F451"/>
  <c r="C410"/>
  <c r="C409"/>
  <c r="C407"/>
  <c r="C406"/>
  <c r="C405"/>
  <c r="C404"/>
  <c r="C403"/>
  <c r="C389"/>
  <c r="C388"/>
  <c r="C387"/>
  <c r="B387" s="1"/>
  <c r="A387" s="1"/>
  <c r="C386"/>
  <c r="W382"/>
  <c r="W381"/>
  <c r="W367"/>
  <c r="W348"/>
  <c r="V348" s="1"/>
  <c r="U348" s="1"/>
  <c r="C343"/>
  <c r="B343" s="1"/>
  <c r="A343" s="1"/>
  <c r="C329"/>
  <c r="C324"/>
  <c r="C312"/>
  <c r="W303"/>
  <c r="W400"/>
  <c r="W399"/>
  <c r="C392"/>
  <c r="C391"/>
  <c r="C373"/>
  <c r="C372"/>
  <c r="C371"/>
  <c r="C369"/>
  <c r="C341"/>
  <c r="C340"/>
  <c r="W315"/>
  <c r="W314"/>
  <c r="W313"/>
  <c r="W312"/>
  <c r="W307"/>
  <c r="W302"/>
  <c r="W301"/>
  <c r="C299"/>
  <c r="W273"/>
  <c r="W266"/>
  <c r="W259"/>
  <c r="J445"/>
  <c r="O355" i="2"/>
  <c r="N355" s="1"/>
  <c r="W283" i="3"/>
  <c r="J448"/>
  <c r="W355"/>
  <c r="C331"/>
  <c r="AB454"/>
  <c r="AA454" s="1"/>
  <c r="Z453"/>
  <c r="AB450"/>
  <c r="J454"/>
  <c r="J451"/>
  <c r="W398"/>
  <c r="W395"/>
  <c r="C339"/>
  <c r="C305"/>
  <c r="W271"/>
  <c r="W269"/>
  <c r="J455"/>
  <c r="W409"/>
  <c r="W408"/>
  <c r="W406"/>
  <c r="W403"/>
  <c r="C398"/>
  <c r="C397"/>
  <c r="C395"/>
  <c r="W389"/>
  <c r="W388"/>
  <c r="W387"/>
  <c r="W385"/>
  <c r="W384"/>
  <c r="C368"/>
  <c r="C358"/>
  <c r="C357"/>
  <c r="B357" s="1"/>
  <c r="A357" s="1"/>
  <c r="C355"/>
  <c r="B355" s="1"/>
  <c r="A355" s="1"/>
  <c r="W347"/>
  <c r="V347" s="1"/>
  <c r="U347" s="1"/>
  <c r="W346"/>
  <c r="V346" s="1"/>
  <c r="U346" s="1"/>
  <c r="W345"/>
  <c r="V345" s="1"/>
  <c r="U345" s="1"/>
  <c r="W344"/>
  <c r="V344" s="1"/>
  <c r="U344" s="1"/>
  <c r="W338"/>
  <c r="W336"/>
  <c r="C323"/>
  <c r="C309"/>
  <c r="C413"/>
  <c r="C411"/>
  <c r="W377"/>
  <c r="C365"/>
  <c r="C364"/>
  <c r="B364" s="1"/>
  <c r="A364" s="1"/>
  <c r="C363"/>
  <c r="B363" s="1"/>
  <c r="A363" s="1"/>
  <c r="C362"/>
  <c r="C353"/>
  <c r="B353" s="1"/>
  <c r="A353" s="1"/>
  <c r="C351"/>
  <c r="B351" s="1"/>
  <c r="A351" s="1"/>
  <c r="C350"/>
  <c r="B350" s="1"/>
  <c r="A350" s="1"/>
  <c r="C349"/>
  <c r="B349" s="1"/>
  <c r="A349" s="1"/>
  <c r="C335"/>
  <c r="C334"/>
  <c r="C333"/>
  <c r="C332"/>
  <c r="C317"/>
  <c r="C308"/>
  <c r="W305"/>
  <c r="W299"/>
  <c r="W292"/>
  <c r="W290"/>
  <c r="W288"/>
  <c r="W284"/>
  <c r="C277"/>
  <c r="W272"/>
  <c r="C270"/>
  <c r="C263"/>
  <c r="W257"/>
  <c r="C252"/>
  <c r="C288"/>
  <c r="C286"/>
  <c r="C284"/>
  <c r="C271"/>
  <c r="W255"/>
  <c r="W294"/>
  <c r="E449"/>
  <c r="C274"/>
  <c r="E448"/>
  <c r="AA449"/>
  <c r="AA455"/>
  <c r="Z455" s="1"/>
  <c r="Y455" s="1"/>
  <c r="X455" s="1"/>
  <c r="AE255"/>
  <c r="C266"/>
  <c r="F455"/>
  <c r="E455" s="1"/>
  <c r="D455" s="1"/>
  <c r="F449"/>
  <c r="W444"/>
  <c r="W287"/>
  <c r="W285"/>
  <c r="C257"/>
  <c r="AB455"/>
  <c r="AB453"/>
  <c r="W410"/>
  <c r="W405"/>
  <c r="C382"/>
  <c r="C396"/>
  <c r="W376"/>
  <c r="W370"/>
  <c r="W341"/>
  <c r="W335"/>
  <c r="C313"/>
  <c r="C310"/>
  <c r="C301"/>
  <c r="C293"/>
  <c r="C291"/>
  <c r="C289"/>
  <c r="J446"/>
  <c r="W278"/>
  <c r="C256"/>
  <c r="V370"/>
  <c r="U370" s="1"/>
  <c r="V374"/>
  <c r="U374" s="1"/>
  <c r="V385"/>
  <c r="U385" s="1"/>
  <c r="B411"/>
  <c r="A411" s="1"/>
  <c r="B371"/>
  <c r="A371" s="1"/>
  <c r="V358"/>
  <c r="U358" s="1"/>
  <c r="B356"/>
  <c r="A356" s="1"/>
  <c r="B367"/>
  <c r="A367" s="1"/>
  <c r="E337"/>
  <c r="F452"/>
  <c r="V364"/>
  <c r="U364" s="1"/>
  <c r="AB449"/>
  <c r="F453"/>
  <c r="E453" s="1"/>
  <c r="D453" s="1"/>
  <c r="B365"/>
  <c r="A365" s="1"/>
  <c r="W404"/>
  <c r="W386"/>
  <c r="V386" s="1"/>
  <c r="U386" s="1"/>
  <c r="Y360"/>
  <c r="Z454"/>
  <c r="C300"/>
  <c r="J449"/>
  <c r="W373"/>
  <c r="V373" s="1"/>
  <c r="U373" s="1"/>
  <c r="W371"/>
  <c r="W368"/>
  <c r="V368" s="1"/>
  <c r="U368" s="1"/>
  <c r="W323"/>
  <c r="C303"/>
  <c r="W295"/>
  <c r="AB448"/>
  <c r="W282"/>
  <c r="J452"/>
  <c r="C281"/>
  <c r="C276"/>
  <c r="AB447"/>
  <c r="D449"/>
  <c r="O365" i="2"/>
  <c r="A339"/>
  <c r="B351"/>
  <c r="X447" i="3"/>
  <c r="A430"/>
  <c r="U431"/>
  <c r="V359"/>
  <c r="U359" s="1"/>
  <c r="V398"/>
  <c r="U398" s="1"/>
  <c r="V357"/>
  <c r="U357" s="1"/>
  <c r="I450"/>
  <c r="C283"/>
  <c r="D448"/>
  <c r="C443"/>
  <c r="Y453"/>
  <c r="X453" s="1"/>
  <c r="W453" s="1"/>
  <c r="J450"/>
  <c r="B358"/>
  <c r="A358" s="1"/>
  <c r="C381"/>
  <c r="B381" s="1"/>
  <c r="A381" s="1"/>
  <c r="C304"/>
  <c r="W293"/>
  <c r="W289"/>
  <c r="C401"/>
  <c r="V377"/>
  <c r="U377" s="1"/>
  <c r="B362"/>
  <c r="A362" s="1"/>
  <c r="W340"/>
  <c r="C316"/>
  <c r="C311"/>
  <c r="C302"/>
  <c r="X448"/>
  <c r="D447"/>
  <c r="V366"/>
  <c r="U366" s="1"/>
  <c r="E450"/>
  <c r="D450" s="1"/>
  <c r="Y449"/>
  <c r="E451"/>
  <c r="D451" s="1"/>
  <c r="B370"/>
  <c r="A370" s="1"/>
  <c r="C307"/>
  <c r="Y447"/>
  <c r="W343"/>
  <c r="V343" s="1"/>
  <c r="U343" s="1"/>
  <c r="W316"/>
  <c r="C254"/>
  <c r="C515" i="2"/>
  <c r="C513"/>
  <c r="N362"/>
  <c r="O374"/>
  <c r="O386" s="1"/>
  <c r="B335"/>
  <c r="C518"/>
  <c r="X449" i="3"/>
  <c r="C522" i="2"/>
  <c r="C516"/>
  <c r="J453" i="3"/>
  <c r="AB452"/>
  <c r="AA452" s="1"/>
  <c r="Z452" s="1"/>
  <c r="Y452" s="1"/>
  <c r="X452" s="1"/>
  <c r="W452" s="1"/>
  <c r="AB451"/>
  <c r="AA451" s="1"/>
  <c r="Z451" s="1"/>
  <c r="Y451" s="1"/>
  <c r="X451" s="1"/>
  <c r="W451" s="1"/>
  <c r="Y450"/>
  <c r="X450" s="1"/>
  <c r="V354"/>
  <c r="U354" s="1"/>
  <c r="B366"/>
  <c r="A366" s="1"/>
  <c r="V375"/>
  <c r="U375" s="1"/>
  <c r="N359" i="2"/>
  <c r="A342"/>
  <c r="C514"/>
  <c r="H520"/>
  <c r="F450" i="3"/>
  <c r="B369"/>
  <c r="A369" s="1"/>
  <c r="O361" i="2"/>
  <c r="P512"/>
  <c r="P525"/>
  <c r="C525"/>
  <c r="C523"/>
  <c r="P522"/>
  <c r="C521"/>
  <c r="B354"/>
  <c r="C520"/>
  <c r="C376" i="3"/>
  <c r="B376" s="1"/>
  <c r="A376" s="1"/>
  <c r="C374"/>
  <c r="B374" s="1"/>
  <c r="A374" s="1"/>
  <c r="B360" i="2"/>
  <c r="B357"/>
  <c r="B356"/>
  <c r="H525"/>
  <c r="A377"/>
  <c r="B352"/>
  <c r="B343"/>
  <c r="P524"/>
  <c r="O342"/>
  <c r="P519"/>
  <c r="B350"/>
  <c r="O371"/>
  <c r="O360"/>
  <c r="W443" i="3"/>
  <c r="A22" i="5"/>
  <c r="AE233" i="3"/>
  <c r="C444"/>
  <c r="O369" i="2" l="1"/>
  <c r="B358"/>
  <c r="O370"/>
  <c r="O382" s="1"/>
  <c r="O367"/>
  <c r="W450" i="3"/>
  <c r="B361" i="2"/>
  <c r="A361" s="1"/>
  <c r="A373" s="1"/>
  <c r="N364"/>
  <c r="O376"/>
  <c r="N374"/>
  <c r="N386" s="1"/>
  <c r="C451" i="3"/>
  <c r="W448"/>
  <c r="W455"/>
  <c r="C448"/>
  <c r="O368" i="2"/>
  <c r="O380" s="1"/>
  <c r="N363"/>
  <c r="O375"/>
  <c r="C450" i="3"/>
  <c r="C449"/>
  <c r="C453"/>
  <c r="W449"/>
  <c r="W447"/>
  <c r="B386"/>
  <c r="A431"/>
  <c r="U432"/>
  <c r="X360"/>
  <c r="Y454"/>
  <c r="V387"/>
  <c r="A335" i="2"/>
  <c r="B347"/>
  <c r="N368"/>
  <c r="N365"/>
  <c r="O377"/>
  <c r="B383" i="3"/>
  <c r="V376"/>
  <c r="B379"/>
  <c r="N361" i="2"/>
  <c r="O373"/>
  <c r="V382" i="3"/>
  <c r="B388"/>
  <c r="V355"/>
  <c r="V371"/>
  <c r="V397"/>
  <c r="V369"/>
  <c r="V389"/>
  <c r="A354" i="2"/>
  <c r="B377" i="3"/>
  <c r="V378"/>
  <c r="B368"/>
  <c r="A351" i="2"/>
  <c r="B363"/>
  <c r="B378" i="3"/>
  <c r="D337"/>
  <c r="C337" s="1"/>
  <c r="C452" s="1"/>
  <c r="E452"/>
  <c r="V380"/>
  <c r="B382"/>
  <c r="A382" s="1"/>
  <c r="V410"/>
  <c r="U410" s="1"/>
  <c r="N369" i="2"/>
  <c r="O381"/>
  <c r="N370"/>
  <c r="N342"/>
  <c r="O354"/>
  <c r="A343"/>
  <c r="B355"/>
  <c r="A356"/>
  <c r="B368"/>
  <c r="A358"/>
  <c r="B370"/>
  <c r="A360"/>
  <c r="B372"/>
  <c r="N360"/>
  <c r="O372"/>
  <c r="N371"/>
  <c r="O383"/>
  <c r="A350"/>
  <c r="B362"/>
  <c r="O398"/>
  <c r="A389"/>
  <c r="B401"/>
  <c r="A352"/>
  <c r="B364"/>
  <c r="A357"/>
  <c r="B369"/>
  <c r="N367"/>
  <c r="O379"/>
  <c r="C455" i="3"/>
  <c r="B366" i="2"/>
  <c r="A23" i="5"/>
  <c r="B373" i="2" l="1"/>
  <c r="B385" s="1"/>
  <c r="N376"/>
  <c r="N388" s="1"/>
  <c r="N400" s="1"/>
  <c r="O388"/>
  <c r="O400" s="1"/>
  <c r="O412" s="1"/>
  <c r="N375"/>
  <c r="N387" s="1"/>
  <c r="N399" s="1"/>
  <c r="O387"/>
  <c r="O399" s="1"/>
  <c r="O411" s="1"/>
  <c r="U380" i="3"/>
  <c r="V392"/>
  <c r="A378"/>
  <c r="B390"/>
  <c r="U378"/>
  <c r="V390"/>
  <c r="U371"/>
  <c r="V383"/>
  <c r="A388"/>
  <c r="B400"/>
  <c r="N377" i="2"/>
  <c r="N389" s="1"/>
  <c r="O389"/>
  <c r="O401" s="1"/>
  <c r="O413" s="1"/>
  <c r="A347"/>
  <c r="A359" s="1"/>
  <c r="A371" s="1"/>
  <c r="B359"/>
  <c r="B371" s="1"/>
  <c r="B383" s="1"/>
  <c r="D452" i="3"/>
  <c r="A363" i="2"/>
  <c r="B375"/>
  <c r="A377" i="3"/>
  <c r="B389"/>
  <c r="U389"/>
  <c r="V401"/>
  <c r="U382"/>
  <c r="V394"/>
  <c r="A379"/>
  <c r="B391"/>
  <c r="W360"/>
  <c r="V360" s="1"/>
  <c r="X454"/>
  <c r="W454" s="1"/>
  <c r="U369"/>
  <c r="V381"/>
  <c r="N373" i="2"/>
  <c r="O385"/>
  <c r="U376" i="3"/>
  <c r="V388"/>
  <c r="N380" i="2"/>
  <c r="O392"/>
  <c r="A432" i="3"/>
  <c r="U433"/>
  <c r="A386"/>
  <c r="B398"/>
  <c r="A368"/>
  <c r="B380"/>
  <c r="U397"/>
  <c r="V409"/>
  <c r="U355"/>
  <c r="V367"/>
  <c r="A383"/>
  <c r="B395"/>
  <c r="U387"/>
  <c r="V399"/>
  <c r="A366" i="2"/>
  <c r="B378"/>
  <c r="N379"/>
  <c r="O391"/>
  <c r="A369"/>
  <c r="B381"/>
  <c r="A364"/>
  <c r="B376"/>
  <c r="A401"/>
  <c r="B413"/>
  <c r="A385"/>
  <c r="B397"/>
  <c r="N398"/>
  <c r="O410"/>
  <c r="A362"/>
  <c r="B374"/>
  <c r="N401"/>
  <c r="N383"/>
  <c r="O395"/>
  <c r="N372"/>
  <c r="O384"/>
  <c r="A372"/>
  <c r="B384"/>
  <c r="A370"/>
  <c r="B382"/>
  <c r="A368"/>
  <c r="B380"/>
  <c r="A355"/>
  <c r="B367"/>
  <c r="N354"/>
  <c r="O366"/>
  <c r="N382"/>
  <c r="O394"/>
  <c r="N381"/>
  <c r="O393"/>
  <c r="A24" i="5"/>
  <c r="A398" i="3" l="1"/>
  <c r="B410"/>
  <c r="A410" s="1"/>
  <c r="N392" i="2"/>
  <c r="N404" s="1"/>
  <c r="N416" s="1"/>
  <c r="N428" s="1"/>
  <c r="N440" s="1"/>
  <c r="N452" s="1"/>
  <c r="N464" s="1"/>
  <c r="O404"/>
  <c r="O416" s="1"/>
  <c r="O428" s="1"/>
  <c r="O440" s="1"/>
  <c r="O452" s="1"/>
  <c r="O464" s="1"/>
  <c r="N385"/>
  <c r="O397"/>
  <c r="U383" i="3"/>
  <c r="V395"/>
  <c r="A390"/>
  <c r="B402"/>
  <c r="A402" s="1"/>
  <c r="A413" i="2"/>
  <c r="U399" i="3"/>
  <c r="V411"/>
  <c r="U411" s="1"/>
  <c r="U367"/>
  <c r="V379"/>
  <c r="A380"/>
  <c r="B392"/>
  <c r="U394"/>
  <c r="V406"/>
  <c r="U406" s="1"/>
  <c r="A389"/>
  <c r="B401"/>
  <c r="A433"/>
  <c r="U434"/>
  <c r="U388"/>
  <c r="V400"/>
  <c r="U381"/>
  <c r="V393"/>
  <c r="U360"/>
  <c r="V372"/>
  <c r="A400"/>
  <c r="B412"/>
  <c r="A412" s="1"/>
  <c r="U390"/>
  <c r="V402"/>
  <c r="U402" s="1"/>
  <c r="U392"/>
  <c r="V404"/>
  <c r="U404" s="1"/>
  <c r="A395"/>
  <c r="B407"/>
  <c r="A407" s="1"/>
  <c r="U409"/>
  <c r="A391"/>
  <c r="B403"/>
  <c r="A403" s="1"/>
  <c r="U401"/>
  <c r="V413"/>
  <c r="A375" i="2"/>
  <c r="A387" s="1"/>
  <c r="A399" s="1"/>
  <c r="A411" s="1"/>
  <c r="B387"/>
  <c r="B399" s="1"/>
  <c r="B411" s="1"/>
  <c r="B423" s="1"/>
  <c r="N393"/>
  <c r="O405"/>
  <c r="N411"/>
  <c r="O423"/>
  <c r="N394"/>
  <c r="O406"/>
  <c r="N412"/>
  <c r="O424"/>
  <c r="N366"/>
  <c r="O378"/>
  <c r="A367"/>
  <c r="B379"/>
  <c r="A380"/>
  <c r="B392"/>
  <c r="A382"/>
  <c r="B394"/>
  <c r="A384"/>
  <c r="B396"/>
  <c r="N384"/>
  <c r="O396"/>
  <c r="N395"/>
  <c r="O407"/>
  <c r="N413"/>
  <c r="O425"/>
  <c r="A374"/>
  <c r="B386"/>
  <c r="N410"/>
  <c r="O422"/>
  <c r="A397"/>
  <c r="B409"/>
  <c r="A376"/>
  <c r="B388"/>
  <c r="A381"/>
  <c r="B393"/>
  <c r="A383"/>
  <c r="B395"/>
  <c r="N391"/>
  <c r="O403"/>
  <c r="A378"/>
  <c r="B390"/>
  <c r="A25" i="5"/>
  <c r="U372" i="3" l="1"/>
  <c r="V384"/>
  <c r="A401"/>
  <c r="B413"/>
  <c r="A413" s="1"/>
  <c r="U393"/>
  <c r="V405"/>
  <c r="U405" s="1"/>
  <c r="A434"/>
  <c r="U435"/>
  <c r="U395"/>
  <c r="V407"/>
  <c r="U407" s="1"/>
  <c r="U413"/>
  <c r="U379"/>
  <c r="V391"/>
  <c r="U400"/>
  <c r="V412"/>
  <c r="N397" i="2"/>
  <c r="N409" s="1"/>
  <c r="N421" s="1"/>
  <c r="N433" s="1"/>
  <c r="N445" s="1"/>
  <c r="N457" s="1"/>
  <c r="N469" s="1"/>
  <c r="O409"/>
  <c r="O421" s="1"/>
  <c r="O433" s="1"/>
  <c r="O445" s="1"/>
  <c r="O457" s="1"/>
  <c r="O469" s="1"/>
  <c r="A392" i="3"/>
  <c r="B404"/>
  <c r="A423" i="2"/>
  <c r="A435" s="1"/>
  <c r="A447" s="1"/>
  <c r="A459" s="1"/>
  <c r="A471" s="1"/>
  <c r="B435"/>
  <c r="B447" s="1"/>
  <c r="B459" s="1"/>
  <c r="B471" s="1"/>
  <c r="A390"/>
  <c r="B402"/>
  <c r="N403"/>
  <c r="O415"/>
  <c r="A395"/>
  <c r="B407"/>
  <c r="A393"/>
  <c r="B405"/>
  <c r="A388"/>
  <c r="B400"/>
  <c r="A409"/>
  <c r="B421"/>
  <c r="N422"/>
  <c r="N434" s="1"/>
  <c r="N446" s="1"/>
  <c r="N458" s="1"/>
  <c r="N470" s="1"/>
  <c r="O434"/>
  <c r="O446" s="1"/>
  <c r="O458" s="1"/>
  <c r="O470" s="1"/>
  <c r="A386"/>
  <c r="B398"/>
  <c r="N425"/>
  <c r="O437"/>
  <c r="O449" s="1"/>
  <c r="O461" s="1"/>
  <c r="O473" s="1"/>
  <c r="N407"/>
  <c r="O419"/>
  <c r="N396"/>
  <c r="O408"/>
  <c r="A396"/>
  <c r="B408"/>
  <c r="A394"/>
  <c r="B406"/>
  <c r="A392"/>
  <c r="B404"/>
  <c r="A379"/>
  <c r="B391"/>
  <c r="N378"/>
  <c r="O390"/>
  <c r="N424"/>
  <c r="O436"/>
  <c r="O448" s="1"/>
  <c r="O460" s="1"/>
  <c r="O472" s="1"/>
  <c r="N406"/>
  <c r="O418"/>
  <c r="N423"/>
  <c r="N435" s="1"/>
  <c r="N447" s="1"/>
  <c r="N459" s="1"/>
  <c r="N471" s="1"/>
  <c r="O435"/>
  <c r="O447" s="1"/>
  <c r="O459" s="1"/>
  <c r="O471" s="1"/>
  <c r="N405"/>
  <c r="O417"/>
  <c r="A26" i="5"/>
  <c r="A435" i="3" l="1"/>
  <c r="U436"/>
  <c r="A404"/>
  <c r="U412"/>
  <c r="U384"/>
  <c r="V396"/>
  <c r="U391"/>
  <c r="V403"/>
  <c r="U403" s="1"/>
  <c r="N417" i="2"/>
  <c r="N429" s="1"/>
  <c r="N441" s="1"/>
  <c r="N453" s="1"/>
  <c r="N465" s="1"/>
  <c r="O429"/>
  <c r="O441" s="1"/>
  <c r="O453" s="1"/>
  <c r="O465" s="1"/>
  <c r="N418"/>
  <c r="N430" s="1"/>
  <c r="N442" s="1"/>
  <c r="N454" s="1"/>
  <c r="N466" s="1"/>
  <c r="O430"/>
  <c r="O442" s="1"/>
  <c r="O454" s="1"/>
  <c r="O466" s="1"/>
  <c r="N390"/>
  <c r="O402"/>
  <c r="A391"/>
  <c r="B403"/>
  <c r="A404"/>
  <c r="B416"/>
  <c r="A406"/>
  <c r="B418"/>
  <c r="A408"/>
  <c r="B420"/>
  <c r="N408"/>
  <c r="O420"/>
  <c r="N419"/>
  <c r="N431" s="1"/>
  <c r="N443" s="1"/>
  <c r="N455" s="1"/>
  <c r="N467" s="1"/>
  <c r="O431"/>
  <c r="O443" s="1"/>
  <c r="O455" s="1"/>
  <c r="O467" s="1"/>
  <c r="A398"/>
  <c r="B410"/>
  <c r="A421"/>
  <c r="A433" s="1"/>
  <c r="A445" s="1"/>
  <c r="A457" s="1"/>
  <c r="A469" s="1"/>
  <c r="B433"/>
  <c r="B445" s="1"/>
  <c r="B457" s="1"/>
  <c r="B469" s="1"/>
  <c r="A400"/>
  <c r="B412"/>
  <c r="A405"/>
  <c r="B417"/>
  <c r="A407"/>
  <c r="B419"/>
  <c r="N415"/>
  <c r="N427" s="1"/>
  <c r="N439" s="1"/>
  <c r="N451" s="1"/>
  <c r="N463" s="1"/>
  <c r="O427"/>
  <c r="O439" s="1"/>
  <c r="O451" s="1"/>
  <c r="O463" s="1"/>
  <c r="A402"/>
  <c r="B414"/>
  <c r="N436"/>
  <c r="N448" s="1"/>
  <c r="N460" s="1"/>
  <c r="N472" s="1"/>
  <c r="B425"/>
  <c r="N437"/>
  <c r="N449" s="1"/>
  <c r="N461" s="1"/>
  <c r="N473" s="1"/>
  <c r="A27" i="5"/>
  <c r="A412" i="2" l="1"/>
  <c r="U396" i="3"/>
  <c r="V408"/>
  <c r="U408" s="1"/>
  <c r="A436"/>
  <c r="U437"/>
  <c r="A414" i="2"/>
  <c r="A426" s="1"/>
  <c r="A438" s="1"/>
  <c r="A450" s="1"/>
  <c r="A462" s="1"/>
  <c r="B426"/>
  <c r="B438" s="1"/>
  <c r="B450" s="1"/>
  <c r="B462" s="1"/>
  <c r="A419"/>
  <c r="A431" s="1"/>
  <c r="A443" s="1"/>
  <c r="A455" s="1"/>
  <c r="A467" s="1"/>
  <c r="B431"/>
  <c r="B443" s="1"/>
  <c r="B455" s="1"/>
  <c r="B467" s="1"/>
  <c r="A417"/>
  <c r="A429" s="1"/>
  <c r="A441" s="1"/>
  <c r="A453" s="1"/>
  <c r="A465" s="1"/>
  <c r="B429"/>
  <c r="B441" s="1"/>
  <c r="B453" s="1"/>
  <c r="B465" s="1"/>
  <c r="A410"/>
  <c r="B422"/>
  <c r="N420"/>
  <c r="N432" s="1"/>
  <c r="N444" s="1"/>
  <c r="N456" s="1"/>
  <c r="N468" s="1"/>
  <c r="O432"/>
  <c r="O444" s="1"/>
  <c r="O456" s="1"/>
  <c r="O468" s="1"/>
  <c r="A420"/>
  <c r="A432" s="1"/>
  <c r="A444" s="1"/>
  <c r="A456" s="1"/>
  <c r="A468" s="1"/>
  <c r="B432"/>
  <c r="B444" s="1"/>
  <c r="B456" s="1"/>
  <c r="B468" s="1"/>
  <c r="A418"/>
  <c r="A430" s="1"/>
  <c r="A442" s="1"/>
  <c r="A454" s="1"/>
  <c r="A466" s="1"/>
  <c r="B430"/>
  <c r="B442" s="1"/>
  <c r="B454" s="1"/>
  <c r="B466" s="1"/>
  <c r="A416"/>
  <c r="A428" s="1"/>
  <c r="A440" s="1"/>
  <c r="A452" s="1"/>
  <c r="A464" s="1"/>
  <c r="B428"/>
  <c r="B440" s="1"/>
  <c r="B452" s="1"/>
  <c r="B464" s="1"/>
  <c r="A403"/>
  <c r="B415"/>
  <c r="N402"/>
  <c r="O414"/>
  <c r="A425"/>
  <c r="A437" s="1"/>
  <c r="A449" s="1"/>
  <c r="A461" s="1"/>
  <c r="A473" s="1"/>
  <c r="B437"/>
  <c r="B449" s="1"/>
  <c r="B461" s="1"/>
  <c r="B473" s="1"/>
  <c r="B424"/>
  <c r="A28" i="5"/>
  <c r="AE423" i="1"/>
  <c r="W423"/>
  <c r="A437" i="3" l="1"/>
  <c r="U438"/>
  <c r="N414" i="2"/>
  <c r="N426" s="1"/>
  <c r="N438" s="1"/>
  <c r="N450" s="1"/>
  <c r="N462" s="1"/>
  <c r="O426"/>
  <c r="O438" s="1"/>
  <c r="O450" s="1"/>
  <c r="O462" s="1"/>
  <c r="A415"/>
  <c r="A427" s="1"/>
  <c r="A439" s="1"/>
  <c r="A451" s="1"/>
  <c r="A463" s="1"/>
  <c r="B427"/>
  <c r="B439" s="1"/>
  <c r="B451" s="1"/>
  <c r="B463" s="1"/>
  <c r="A422"/>
  <c r="A434" s="1"/>
  <c r="A446" s="1"/>
  <c r="A458" s="1"/>
  <c r="A470" s="1"/>
  <c r="B434"/>
  <c r="B446" s="1"/>
  <c r="B458" s="1"/>
  <c r="B470" s="1"/>
  <c r="A424"/>
  <c r="A436" s="1"/>
  <c r="A448" s="1"/>
  <c r="A460" s="1"/>
  <c r="A472" s="1"/>
  <c r="B436"/>
  <c r="B448" s="1"/>
  <c r="B460" s="1"/>
  <c r="B472" s="1"/>
  <c r="A29" i="5"/>
  <c r="H423" i="1"/>
  <c r="A438" i="3" l="1"/>
  <c r="U439"/>
  <c r="A30" i="5"/>
  <c r="C423" i="1"/>
  <c r="A439" i="3" l="1"/>
  <c r="U440"/>
  <c r="A31" i="5"/>
  <c r="AE422" i="1"/>
  <c r="W422"/>
  <c r="A440" i="3" l="1"/>
  <c r="U441"/>
  <c r="A32" i="5"/>
  <c r="N422" i="1"/>
  <c r="H422"/>
  <c r="C422"/>
  <c r="A441" i="3" l="1"/>
  <c r="U442"/>
  <c r="A33" i="5"/>
  <c r="O422" i="1"/>
  <c r="Q422" s="1"/>
  <c r="AE421"/>
  <c r="W421"/>
  <c r="A442" i="3" l="1"/>
  <c r="A443" s="1"/>
  <c r="A444" s="1"/>
  <c r="U443"/>
  <c r="U444" s="1"/>
  <c r="S422" i="1"/>
  <c r="A34" i="5"/>
  <c r="N421" i="1"/>
  <c r="H421"/>
  <c r="C421"/>
  <c r="A35" i="5" l="1"/>
  <c r="O421" i="1"/>
  <c r="Q421" s="1"/>
  <c r="S421" l="1"/>
  <c r="A36" i="5"/>
  <c r="AE420" i="1"/>
  <c r="W420"/>
  <c r="A37" i="5" l="1"/>
  <c r="N420" i="1"/>
  <c r="H420"/>
  <c r="C420"/>
  <c r="A38" i="5" l="1"/>
  <c r="O420" i="1"/>
  <c r="Q420" s="1"/>
  <c r="AE419"/>
  <c r="W419"/>
  <c r="S420" l="1"/>
  <c r="A39" i="5"/>
  <c r="N419" i="1"/>
  <c r="H419"/>
  <c r="C419"/>
  <c r="AE418"/>
  <c r="W418"/>
  <c r="N418"/>
  <c r="H418"/>
  <c r="C418"/>
  <c r="AE417"/>
  <c r="W417"/>
  <c r="N417"/>
  <c r="H417"/>
  <c r="C417"/>
  <c r="AE416"/>
  <c r="W416"/>
  <c r="A40" i="5" l="1"/>
  <c r="O419" i="1"/>
  <c r="Q419" s="1"/>
  <c r="O417"/>
  <c r="Q417" s="1"/>
  <c r="O418"/>
  <c r="Q418" s="1"/>
  <c r="N416"/>
  <c r="H416"/>
  <c r="C416"/>
  <c r="AE415"/>
  <c r="W415"/>
  <c r="N415"/>
  <c r="H415"/>
  <c r="C415"/>
  <c r="AE414"/>
  <c r="AE41" i="5" s="1"/>
  <c r="W414" i="1"/>
  <c r="W41" i="5" l="1"/>
  <c r="S417" i="1"/>
  <c r="S418"/>
  <c r="S419"/>
  <c r="A41" i="5"/>
  <c r="A42" s="1"/>
  <c r="A43" s="1"/>
  <c r="A44" s="1"/>
  <c r="O415" i="1"/>
  <c r="Q415" s="1"/>
  <c r="O416"/>
  <c r="Q416" s="1"/>
  <c r="N414"/>
  <c r="H414"/>
  <c r="C414"/>
  <c r="S416" l="1"/>
  <c r="S415"/>
  <c r="O414"/>
  <c r="AE413"/>
  <c r="W413"/>
  <c r="Q414" l="1"/>
  <c r="N413"/>
  <c r="H413"/>
  <c r="C413"/>
  <c r="AE412"/>
  <c r="W412"/>
  <c r="N412"/>
  <c r="H412"/>
  <c r="C412"/>
  <c r="AE411"/>
  <c r="W411"/>
  <c r="N411"/>
  <c r="H411"/>
  <c r="C411"/>
  <c r="AE410"/>
  <c r="W410"/>
  <c r="N410"/>
  <c r="H410"/>
  <c r="C410"/>
  <c r="AE409"/>
  <c r="W409"/>
  <c r="N409"/>
  <c r="H409"/>
  <c r="C409"/>
  <c r="AE408"/>
  <c r="W408"/>
  <c r="N408"/>
  <c r="H408"/>
  <c r="C408"/>
  <c r="AE407"/>
  <c r="W407"/>
  <c r="N407"/>
  <c r="H407"/>
  <c r="C407"/>
  <c r="AE406"/>
  <c r="W406"/>
  <c r="N406"/>
  <c r="H406"/>
  <c r="C406"/>
  <c r="AE405"/>
  <c r="W405"/>
  <c r="N405"/>
  <c r="H405"/>
  <c r="C405"/>
  <c r="AE404"/>
  <c r="W404"/>
  <c r="N404"/>
  <c r="H404"/>
  <c r="C404"/>
  <c r="AE403"/>
  <c r="W403"/>
  <c r="N403"/>
  <c r="H403"/>
  <c r="C403"/>
  <c r="AE402"/>
  <c r="W402"/>
  <c r="N402"/>
  <c r="H402"/>
  <c r="C402"/>
  <c r="AE401"/>
  <c r="W401"/>
  <c r="N401"/>
  <c r="H401"/>
  <c r="H401" i="3" s="1"/>
  <c r="C401" i="1"/>
  <c r="AE400"/>
  <c r="W400"/>
  <c r="N400"/>
  <c r="H400"/>
  <c r="H400" i="3" s="1"/>
  <c r="C400" i="1"/>
  <c r="AE399"/>
  <c r="W399"/>
  <c r="N399"/>
  <c r="H399"/>
  <c r="H399" i="3" s="1"/>
  <c r="C399" i="1"/>
  <c r="AE398"/>
  <c r="W398"/>
  <c r="N398"/>
  <c r="H398"/>
  <c r="H398" i="3" s="1"/>
  <c r="C398" i="1"/>
  <c r="AE397"/>
  <c r="W397"/>
  <c r="N397"/>
  <c r="H397"/>
  <c r="H397" i="3" s="1"/>
  <c r="C397" i="1"/>
  <c r="AE396"/>
  <c r="W396"/>
  <c r="N396"/>
  <c r="H396"/>
  <c r="H396" i="3" s="1"/>
  <c r="C396" i="1"/>
  <c r="AE395"/>
  <c r="W395"/>
  <c r="N395"/>
  <c r="H395"/>
  <c r="H395" i="3" s="1"/>
  <c r="C395" i="1"/>
  <c r="AE394"/>
  <c r="W394"/>
  <c r="N394"/>
  <c r="H394"/>
  <c r="H394" i="3" s="1"/>
  <c r="E394" i="1"/>
  <c r="AE393"/>
  <c r="W393"/>
  <c r="N393"/>
  <c r="H393"/>
  <c r="H393" i="3" s="1"/>
  <c r="E393" i="1"/>
  <c r="AE392"/>
  <c r="W392"/>
  <c r="N392"/>
  <c r="H392"/>
  <c r="H392" i="3" s="1"/>
  <c r="C392" i="1"/>
  <c r="AE391"/>
  <c r="W391"/>
  <c r="N391"/>
  <c r="H391"/>
  <c r="H391" i="3" s="1"/>
  <c r="C391" i="1"/>
  <c r="AE390"/>
  <c r="W390"/>
  <c r="N390"/>
  <c r="H390"/>
  <c r="C390"/>
  <c r="AE389"/>
  <c r="W389"/>
  <c r="N389"/>
  <c r="H389"/>
  <c r="H389" i="3" s="1"/>
  <c r="C389" i="1"/>
  <c r="A389"/>
  <c r="AE388"/>
  <c r="W388"/>
  <c r="N388"/>
  <c r="H388"/>
  <c r="H388" i="3" s="1"/>
  <c r="C388" i="1"/>
  <c r="A388"/>
  <c r="AE387"/>
  <c r="W387"/>
  <c r="N387"/>
  <c r="H387"/>
  <c r="H387" i="3" s="1"/>
  <c r="C387" i="1"/>
  <c r="A387"/>
  <c r="AE386"/>
  <c r="W386"/>
  <c r="N386"/>
  <c r="H386"/>
  <c r="H386" i="3" s="1"/>
  <c r="C386" i="1"/>
  <c r="A386"/>
  <c r="AE385"/>
  <c r="W385"/>
  <c r="N385"/>
  <c r="H385"/>
  <c r="H385" i="3" s="1"/>
  <c r="C385" i="1"/>
  <c r="A385"/>
  <c r="AE384"/>
  <c r="W384"/>
  <c r="N384"/>
  <c r="H384"/>
  <c r="H384" i="3" s="1"/>
  <c r="C384" i="1"/>
  <c r="A384"/>
  <c r="AE383"/>
  <c r="W383"/>
  <c r="N383"/>
  <c r="H383"/>
  <c r="H383" i="3" s="1"/>
  <c r="C383" i="1"/>
  <c r="A383"/>
  <c r="AE382"/>
  <c r="W382"/>
  <c r="N382"/>
  <c r="H382"/>
  <c r="H382" i="3" s="1"/>
  <c r="C382" i="1"/>
  <c r="A382"/>
  <c r="AE381"/>
  <c r="W381"/>
  <c r="N381"/>
  <c r="H381"/>
  <c r="H381" i="3" s="1"/>
  <c r="C381" i="1"/>
  <c r="A381"/>
  <c r="AE380"/>
  <c r="W380"/>
  <c r="N380"/>
  <c r="H380"/>
  <c r="H380" i="3" s="1"/>
  <c r="C380" i="1"/>
  <c r="A380"/>
  <c r="AE379"/>
  <c r="W379"/>
  <c r="N379"/>
  <c r="H379"/>
  <c r="H379" i="3" s="1"/>
  <c r="C379" i="1"/>
  <c r="A379"/>
  <c r="AE378"/>
  <c r="W378"/>
  <c r="N378"/>
  <c r="H378"/>
  <c r="C378"/>
  <c r="A378"/>
  <c r="AE377"/>
  <c r="W377"/>
  <c r="N377"/>
  <c r="H377"/>
  <c r="H377" i="3" s="1"/>
  <c r="C377" i="1"/>
  <c r="AE376"/>
  <c r="W376"/>
  <c r="N376"/>
  <c r="H376"/>
  <c r="H376" i="3" s="1"/>
  <c r="C376" i="1"/>
  <c r="AE375"/>
  <c r="W375"/>
  <c r="N375"/>
  <c r="H375"/>
  <c r="H375" i="3" s="1"/>
  <c r="C375" i="1"/>
  <c r="AE374"/>
  <c r="W374"/>
  <c r="N374"/>
  <c r="H374"/>
  <c r="H374" i="3" s="1"/>
  <c r="C374" i="1"/>
  <c r="AE373"/>
  <c r="W373"/>
  <c r="N373"/>
  <c r="H373"/>
  <c r="H373" i="3" s="1"/>
  <c r="C373" i="1"/>
  <c r="AE39" i="5" l="1"/>
  <c r="N39"/>
  <c r="E394" i="3"/>
  <c r="D394" s="1"/>
  <c r="C394" s="1"/>
  <c r="B394" s="1"/>
  <c r="C393" i="1"/>
  <c r="N40" i="5"/>
  <c r="AE40"/>
  <c r="H39"/>
  <c r="H390" i="3"/>
  <c r="W39" i="5"/>
  <c r="E39"/>
  <c r="B39" s="1"/>
  <c r="E393" i="3"/>
  <c r="D393" s="1"/>
  <c r="C393" s="1"/>
  <c r="B393" s="1"/>
  <c r="H40" i="5"/>
  <c r="H402" i="3"/>
  <c r="W40" i="5"/>
  <c r="H403" i="3"/>
  <c r="H404"/>
  <c r="H405"/>
  <c r="H406"/>
  <c r="H407"/>
  <c r="H411"/>
  <c r="H412"/>
  <c r="H413"/>
  <c r="N38" i="5"/>
  <c r="AE38"/>
  <c r="C394" i="1"/>
  <c r="H38" i="5"/>
  <c r="H378" i="3"/>
  <c r="W38" i="5"/>
  <c r="H408" i="3"/>
  <c r="H409"/>
  <c r="H410"/>
  <c r="S414" i="1"/>
  <c r="AE372"/>
  <c r="W372"/>
  <c r="N372"/>
  <c r="H372"/>
  <c r="C372"/>
  <c r="AE371"/>
  <c r="W371"/>
  <c r="N371"/>
  <c r="H371"/>
  <c r="C371"/>
  <c r="AE370"/>
  <c r="W370"/>
  <c r="N370"/>
  <c r="H370"/>
  <c r="C370"/>
  <c r="AE369"/>
  <c r="W369"/>
  <c r="N369"/>
  <c r="H369"/>
  <c r="C369"/>
  <c r="AE368"/>
  <c r="W368"/>
  <c r="N368"/>
  <c r="H368"/>
  <c r="C368"/>
  <c r="AE367"/>
  <c r="W367"/>
  <c r="N367"/>
  <c r="H367"/>
  <c r="C367"/>
  <c r="AE366"/>
  <c r="W366"/>
  <c r="N366"/>
  <c r="H366"/>
  <c r="C366"/>
  <c r="AE365"/>
  <c r="W365"/>
  <c r="N365"/>
  <c r="H365"/>
  <c r="C365"/>
  <c r="AE364"/>
  <c r="W364"/>
  <c r="N364"/>
  <c r="H364"/>
  <c r="C364"/>
  <c r="AE363"/>
  <c r="W363"/>
  <c r="N363"/>
  <c r="H363"/>
  <c r="C363"/>
  <c r="AE362"/>
  <c r="W362"/>
  <c r="N362"/>
  <c r="H362"/>
  <c r="C362"/>
  <c r="AE361"/>
  <c r="W361"/>
  <c r="N361"/>
  <c r="F361"/>
  <c r="H361" s="1"/>
  <c r="C361"/>
  <c r="AE360"/>
  <c r="W360"/>
  <c r="N360"/>
  <c r="F360"/>
  <c r="AE359"/>
  <c r="W359"/>
  <c r="N359"/>
  <c r="H359"/>
  <c r="H359" i="3" s="1"/>
  <c r="C359" i="1"/>
  <c r="AE358"/>
  <c r="W358"/>
  <c r="N358"/>
  <c r="H358"/>
  <c r="H358" i="3" s="1"/>
  <c r="C358" i="1"/>
  <c r="AE357"/>
  <c r="W357"/>
  <c r="N357"/>
  <c r="H357"/>
  <c r="H357" i="3" s="1"/>
  <c r="C357" i="1"/>
  <c r="AE356"/>
  <c r="W356"/>
  <c r="N356"/>
  <c r="H356"/>
  <c r="H356" i="3" s="1"/>
  <c r="C356" i="1"/>
  <c r="AE355"/>
  <c r="W355"/>
  <c r="N355"/>
  <c r="H355"/>
  <c r="H355" i="3" s="1"/>
  <c r="C355" i="1"/>
  <c r="AE354"/>
  <c r="W354"/>
  <c r="N354"/>
  <c r="H354"/>
  <c r="C354"/>
  <c r="AE353"/>
  <c r="W353"/>
  <c r="N353"/>
  <c r="H353"/>
  <c r="H353" i="3" s="1"/>
  <c r="C353" i="1"/>
  <c r="AE352"/>
  <c r="W352"/>
  <c r="N352"/>
  <c r="H352"/>
  <c r="H352" i="3" s="1"/>
  <c r="C352" i="1"/>
  <c r="AE351"/>
  <c r="W351"/>
  <c r="N351"/>
  <c r="H351"/>
  <c r="H351" i="3" s="1"/>
  <c r="C351" i="1"/>
  <c r="AE350"/>
  <c r="W350"/>
  <c r="N350"/>
  <c r="H350"/>
  <c r="H350" i="3" s="1"/>
  <c r="C350" i="1"/>
  <c r="AE349"/>
  <c r="W349"/>
  <c r="N349"/>
  <c r="H349"/>
  <c r="H349" i="3" s="1"/>
  <c r="C349" i="1"/>
  <c r="AE348"/>
  <c r="W348"/>
  <c r="N348"/>
  <c r="H348"/>
  <c r="H348" i="3" s="1"/>
  <c r="C348" i="1"/>
  <c r="AE347"/>
  <c r="W347"/>
  <c r="N347"/>
  <c r="H347"/>
  <c r="H347" i="3" s="1"/>
  <c r="C347" i="1"/>
  <c r="AE346"/>
  <c r="W346"/>
  <c r="N346"/>
  <c r="H346"/>
  <c r="H346" i="3" s="1"/>
  <c r="C346" i="1"/>
  <c r="AE345"/>
  <c r="W345"/>
  <c r="N345"/>
  <c r="H345"/>
  <c r="H345" i="3" s="1"/>
  <c r="C345" i="1"/>
  <c r="AE344"/>
  <c r="W344"/>
  <c r="N344"/>
  <c r="H344"/>
  <c r="H344" i="3" s="1"/>
  <c r="C344" i="1"/>
  <c r="AE343"/>
  <c r="W343"/>
  <c r="N343"/>
  <c r="H343"/>
  <c r="H343" i="3" s="1"/>
  <c r="C343" i="1"/>
  <c r="AE342"/>
  <c r="W342"/>
  <c r="N342"/>
  <c r="H342"/>
  <c r="C342"/>
  <c r="AE341"/>
  <c r="W341"/>
  <c r="V341"/>
  <c r="U341"/>
  <c r="N341"/>
  <c r="H341"/>
  <c r="C341"/>
  <c r="AE340"/>
  <c r="W340"/>
  <c r="V340"/>
  <c r="U340"/>
  <c r="N340"/>
  <c r="H340"/>
  <c r="C340"/>
  <c r="AE339"/>
  <c r="W339"/>
  <c r="V339"/>
  <c r="U339"/>
  <c r="N339"/>
  <c r="H339"/>
  <c r="C339"/>
  <c r="AE338"/>
  <c r="W338"/>
  <c r="V338"/>
  <c r="U338"/>
  <c r="N338"/>
  <c r="H338"/>
  <c r="C338"/>
  <c r="AE337"/>
  <c r="W337"/>
  <c r="V337"/>
  <c r="U337"/>
  <c r="N337"/>
  <c r="H337"/>
  <c r="C337"/>
  <c r="AE336"/>
  <c r="W336"/>
  <c r="V336"/>
  <c r="U336"/>
  <c r="N336"/>
  <c r="H336"/>
  <c r="C336"/>
  <c r="AE335"/>
  <c r="W335"/>
  <c r="V335"/>
  <c r="U335"/>
  <c r="N335"/>
  <c r="H335"/>
  <c r="C335"/>
  <c r="AE334"/>
  <c r="W334"/>
  <c r="V334"/>
  <c r="U334"/>
  <c r="N334"/>
  <c r="H334"/>
  <c r="C334"/>
  <c r="AE333"/>
  <c r="W333"/>
  <c r="V333"/>
  <c r="U333"/>
  <c r="N333"/>
  <c r="H333"/>
  <c r="C333"/>
  <c r="AE332"/>
  <c r="W332"/>
  <c r="V332"/>
  <c r="U332"/>
  <c r="N332"/>
  <c r="H332"/>
  <c r="H332" i="3" s="1"/>
  <c r="C332" i="1"/>
  <c r="AE331"/>
  <c r="W331"/>
  <c r="V331"/>
  <c r="U331"/>
  <c r="N331"/>
  <c r="H331"/>
  <c r="H331" i="3" s="1"/>
  <c r="C331" i="1"/>
  <c r="AE330"/>
  <c r="AE34" i="5" s="1"/>
  <c r="W330" i="1"/>
  <c r="V330"/>
  <c r="U330"/>
  <c r="N330"/>
  <c r="H330"/>
  <c r="C330"/>
  <c r="AE329"/>
  <c r="W329"/>
  <c r="N329"/>
  <c r="H329"/>
  <c r="C329"/>
  <c r="B329"/>
  <c r="A329"/>
  <c r="AE328"/>
  <c r="W328"/>
  <c r="N328"/>
  <c r="H328"/>
  <c r="H328" i="3" s="1"/>
  <c r="C328" i="1"/>
  <c r="B328"/>
  <c r="A328"/>
  <c r="AE327"/>
  <c r="W327"/>
  <c r="N327"/>
  <c r="H327"/>
  <c r="H327" i="3" s="1"/>
  <c r="C327" i="1"/>
  <c r="B327"/>
  <c r="A327"/>
  <c r="AE326"/>
  <c r="W326"/>
  <c r="N326"/>
  <c r="H326"/>
  <c r="H326" i="3" s="1"/>
  <c r="C326" i="1"/>
  <c r="B326"/>
  <c r="A326"/>
  <c r="AE325"/>
  <c r="W325"/>
  <c r="N325"/>
  <c r="H325"/>
  <c r="H325" i="3" s="1"/>
  <c r="C325" i="1"/>
  <c r="B325"/>
  <c r="A325"/>
  <c r="AE324"/>
  <c r="W324"/>
  <c r="N324"/>
  <c r="H324"/>
  <c r="H324" i="3" s="1"/>
  <c r="C324" i="1"/>
  <c r="B324"/>
  <c r="A324"/>
  <c r="AE323"/>
  <c r="W323"/>
  <c r="N323"/>
  <c r="H323"/>
  <c r="H323" i="3" s="1"/>
  <c r="C323" i="1"/>
  <c r="B323"/>
  <c r="A323"/>
  <c r="AE322"/>
  <c r="W322"/>
  <c r="N322"/>
  <c r="H322"/>
  <c r="H322" i="3" s="1"/>
  <c r="C322" i="1"/>
  <c r="B322"/>
  <c r="A322"/>
  <c r="AE321"/>
  <c r="W321"/>
  <c r="N321"/>
  <c r="H321"/>
  <c r="H321" i="3" s="1"/>
  <c r="C321" i="1"/>
  <c r="B321"/>
  <c r="A321"/>
  <c r="AE320"/>
  <c r="W320"/>
  <c r="N320"/>
  <c r="H320"/>
  <c r="H320" i="3" s="1"/>
  <c r="C320" i="1"/>
  <c r="B320"/>
  <c r="A320"/>
  <c r="AE319"/>
  <c r="W319"/>
  <c r="N319"/>
  <c r="H319"/>
  <c r="H319" i="3" s="1"/>
  <c r="C319" i="1"/>
  <c r="B319"/>
  <c r="A319"/>
  <c r="AE318"/>
  <c r="AE33" i="5" s="1"/>
  <c r="W318" i="1"/>
  <c r="N318"/>
  <c r="H318"/>
  <c r="C318"/>
  <c r="B318"/>
  <c r="A318"/>
  <c r="AE317"/>
  <c r="W317"/>
  <c r="N317"/>
  <c r="H317"/>
  <c r="H317" i="3" s="1"/>
  <c r="C317" i="1"/>
  <c r="AE316"/>
  <c r="W316"/>
  <c r="N316"/>
  <c r="H316"/>
  <c r="H316" i="3" s="1"/>
  <c r="C316" i="1"/>
  <c r="AE315"/>
  <c r="W315"/>
  <c r="N315"/>
  <c r="H315"/>
  <c r="H315" i="3" s="1"/>
  <c r="C315" i="1"/>
  <c r="AE314"/>
  <c r="W314"/>
  <c r="N314"/>
  <c r="H314"/>
  <c r="H314" i="3" s="1"/>
  <c r="C314" i="1"/>
  <c r="AE313"/>
  <c r="W313"/>
  <c r="N313"/>
  <c r="H313"/>
  <c r="H313" i="3" s="1"/>
  <c r="C313" i="1"/>
  <c r="AE312"/>
  <c r="W312"/>
  <c r="N312"/>
  <c r="H312"/>
  <c r="H312" i="3" s="1"/>
  <c r="C312" i="1"/>
  <c r="AE311"/>
  <c r="W311"/>
  <c r="N311"/>
  <c r="H311"/>
  <c r="H311" i="3" s="1"/>
  <c r="C311" i="1"/>
  <c r="AE310"/>
  <c r="W310"/>
  <c r="N310"/>
  <c r="H310"/>
  <c r="H310" i="3" s="1"/>
  <c r="C310" i="1"/>
  <c r="AE309"/>
  <c r="W309"/>
  <c r="N309"/>
  <c r="H309"/>
  <c r="H309" i="3" s="1"/>
  <c r="C309" i="1"/>
  <c r="AE308"/>
  <c r="W308"/>
  <c r="N308"/>
  <c r="H308"/>
  <c r="H308" i="3" s="1"/>
  <c r="C308" i="1"/>
  <c r="AE307"/>
  <c r="W307"/>
  <c r="N307"/>
  <c r="H307"/>
  <c r="H307" i="3" s="1"/>
  <c r="C307" i="1"/>
  <c r="W33" i="5" l="1"/>
  <c r="W34"/>
  <c r="AE35"/>
  <c r="AE36"/>
  <c r="A393" i="3"/>
  <c r="B405"/>
  <c r="A405" s="1"/>
  <c r="A394"/>
  <c r="B406"/>
  <c r="N33" i="5"/>
  <c r="N34"/>
  <c r="N36"/>
  <c r="N37"/>
  <c r="H329" i="3"/>
  <c r="H336"/>
  <c r="H337"/>
  <c r="H338"/>
  <c r="H341"/>
  <c r="B330" i="1"/>
  <c r="A330" s="1"/>
  <c r="B333"/>
  <c r="A333" s="1"/>
  <c r="B334"/>
  <c r="A334" s="1"/>
  <c r="B335"/>
  <c r="A335" s="1"/>
  <c r="B339"/>
  <c r="A339" s="1"/>
  <c r="B340"/>
  <c r="A340" s="1"/>
  <c r="H33" i="5"/>
  <c r="H318" i="3"/>
  <c r="H34" i="5"/>
  <c r="H330" i="3"/>
  <c r="H333"/>
  <c r="H334"/>
  <c r="H335"/>
  <c r="H339"/>
  <c r="H340"/>
  <c r="B331" i="1"/>
  <c r="A331" s="1"/>
  <c r="B332"/>
  <c r="A332" s="1"/>
  <c r="B336"/>
  <c r="A336" s="1"/>
  <c r="B337"/>
  <c r="A337" s="1"/>
  <c r="B338"/>
  <c r="A338" s="1"/>
  <c r="N35" i="5"/>
  <c r="H35"/>
  <c r="H342" i="3"/>
  <c r="H453" s="1"/>
  <c r="V342" i="1"/>
  <c r="U342" s="1"/>
  <c r="W35" i="5"/>
  <c r="H354" i="3"/>
  <c r="W36" i="5"/>
  <c r="F361" i="3"/>
  <c r="E361" s="1"/>
  <c r="D361" s="1"/>
  <c r="C361" s="1"/>
  <c r="B361" s="1"/>
  <c r="H363"/>
  <c r="H364"/>
  <c r="H365"/>
  <c r="H369"/>
  <c r="H370"/>
  <c r="H371"/>
  <c r="B341" i="1"/>
  <c r="A341" s="1"/>
  <c r="V343"/>
  <c r="U343" s="1"/>
  <c r="V344"/>
  <c r="U344" s="1"/>
  <c r="V345"/>
  <c r="U345" s="1"/>
  <c r="V346"/>
  <c r="U346" s="1"/>
  <c r="V347"/>
  <c r="U347" s="1"/>
  <c r="V348"/>
  <c r="U348" s="1"/>
  <c r="V349"/>
  <c r="U349" s="1"/>
  <c r="V350"/>
  <c r="U350" s="1"/>
  <c r="V351"/>
  <c r="U351" s="1"/>
  <c r="V352"/>
  <c r="U352" s="1"/>
  <c r="V353"/>
  <c r="U353" s="1"/>
  <c r="C360"/>
  <c r="H360"/>
  <c r="AE37" i="5"/>
  <c r="F36"/>
  <c r="B36" s="1"/>
  <c r="F360" i="3"/>
  <c r="H361"/>
  <c r="H362"/>
  <c r="H37" i="5"/>
  <c r="H366" i="3"/>
  <c r="W37" i="5"/>
  <c r="H367" i="3"/>
  <c r="H368"/>
  <c r="H372"/>
  <c r="B350" i="1"/>
  <c r="B362" s="1"/>
  <c r="B374" s="1"/>
  <c r="B386" s="1"/>
  <c r="B398" s="1"/>
  <c r="B351"/>
  <c r="B363" s="1"/>
  <c r="B375" s="1"/>
  <c r="B387" s="1"/>
  <c r="B399" s="1"/>
  <c r="AE306"/>
  <c r="AE32" i="5" s="1"/>
  <c r="W306" i="1"/>
  <c r="W32" i="5" s="1"/>
  <c r="N306" i="1"/>
  <c r="H306"/>
  <c r="C306"/>
  <c r="AE305"/>
  <c r="W305"/>
  <c r="N305"/>
  <c r="H305"/>
  <c r="C305"/>
  <c r="AE304"/>
  <c r="W304"/>
  <c r="N304"/>
  <c r="H304"/>
  <c r="C304"/>
  <c r="AE303"/>
  <c r="W303"/>
  <c r="N303"/>
  <c r="H303"/>
  <c r="C303"/>
  <c r="AE302"/>
  <c r="W302"/>
  <c r="N302"/>
  <c r="H302"/>
  <c r="C302"/>
  <c r="AE301"/>
  <c r="W301"/>
  <c r="N301"/>
  <c r="H301"/>
  <c r="C301"/>
  <c r="AE300"/>
  <c r="W300"/>
  <c r="N300"/>
  <c r="H300"/>
  <c r="C300"/>
  <c r="AE299"/>
  <c r="W299"/>
  <c r="N299"/>
  <c r="H299"/>
  <c r="C299"/>
  <c r="AE298"/>
  <c r="W298"/>
  <c r="N298"/>
  <c r="H298"/>
  <c r="C298"/>
  <c r="AE297"/>
  <c r="W297"/>
  <c r="N297"/>
  <c r="H297"/>
  <c r="C297"/>
  <c r="AE296"/>
  <c r="W296"/>
  <c r="N296"/>
  <c r="H296"/>
  <c r="C296"/>
  <c r="AE295"/>
  <c r="W295"/>
  <c r="N295"/>
  <c r="H295"/>
  <c r="C295"/>
  <c r="AE294"/>
  <c r="W294"/>
  <c r="N294"/>
  <c r="H294"/>
  <c r="C294"/>
  <c r="AE293"/>
  <c r="W293"/>
  <c r="N293"/>
  <c r="H293"/>
  <c r="H293" i="3" s="1"/>
  <c r="C293" i="1"/>
  <c r="AE292"/>
  <c r="W292"/>
  <c r="N292"/>
  <c r="H292"/>
  <c r="H292" i="3" s="1"/>
  <c r="C292" i="1"/>
  <c r="AE291"/>
  <c r="W291"/>
  <c r="N291"/>
  <c r="H291"/>
  <c r="H291" i="3" s="1"/>
  <c r="C291" i="1"/>
  <c r="AE290"/>
  <c r="W290"/>
  <c r="N290"/>
  <c r="H290"/>
  <c r="H290" i="3" s="1"/>
  <c r="C290" i="1"/>
  <c r="AE289"/>
  <c r="W289"/>
  <c r="N289"/>
  <c r="H289"/>
  <c r="H289" i="3" s="1"/>
  <c r="C289" i="1"/>
  <c r="AE288"/>
  <c r="W288"/>
  <c r="N288"/>
  <c r="H288"/>
  <c r="H288" i="3" s="1"/>
  <c r="C288" i="1"/>
  <c r="AE287"/>
  <c r="W287"/>
  <c r="N287"/>
  <c r="H287"/>
  <c r="H287" i="3" s="1"/>
  <c r="C287" i="1"/>
  <c r="AE286"/>
  <c r="W286"/>
  <c r="N286"/>
  <c r="H286"/>
  <c r="H286" i="3" s="1"/>
  <c r="C286" i="1"/>
  <c r="AE285"/>
  <c r="W285"/>
  <c r="N285"/>
  <c r="H285"/>
  <c r="H285" i="3" s="1"/>
  <c r="C285" i="1"/>
  <c r="AE284"/>
  <c r="W284"/>
  <c r="N284"/>
  <c r="H284"/>
  <c r="H284" i="3" s="1"/>
  <c r="C284" i="1"/>
  <c r="AE283"/>
  <c r="W283"/>
  <c r="N283"/>
  <c r="H283"/>
  <c r="H283" i="3" s="1"/>
  <c r="C283" i="1"/>
  <c r="AE282"/>
  <c r="W282"/>
  <c r="N282"/>
  <c r="H282"/>
  <c r="C282"/>
  <c r="AE281"/>
  <c r="W281"/>
  <c r="H281"/>
  <c r="H281" i="3" s="1"/>
  <c r="C281" i="1"/>
  <c r="AE280"/>
  <c r="W280"/>
  <c r="B348" l="1"/>
  <c r="B346"/>
  <c r="B358" s="1"/>
  <c r="B370" s="1"/>
  <c r="B382" s="1"/>
  <c r="B394" s="1"/>
  <c r="B406" s="1"/>
  <c r="B352"/>
  <c r="B364" s="1"/>
  <c r="B376" s="1"/>
  <c r="B388" s="1"/>
  <c r="B400" s="1"/>
  <c r="B412" s="1"/>
  <c r="V361"/>
  <c r="V373" s="1"/>
  <c r="B349"/>
  <c r="B361" s="1"/>
  <c r="B373" s="1"/>
  <c r="B385" s="1"/>
  <c r="B397" s="1"/>
  <c r="B409" s="1"/>
  <c r="B347"/>
  <c r="B359" s="1"/>
  <c r="B371" s="1"/>
  <c r="B383" s="1"/>
  <c r="B395" s="1"/>
  <c r="B407" s="1"/>
  <c r="V358"/>
  <c r="U358" s="1"/>
  <c r="B344"/>
  <c r="B356" s="1"/>
  <c r="B368" s="1"/>
  <c r="B380" s="1"/>
  <c r="B392" s="1"/>
  <c r="B404" s="1"/>
  <c r="B353"/>
  <c r="B365" s="1"/>
  <c r="B377" s="1"/>
  <c r="B389" s="1"/>
  <c r="B401" s="1"/>
  <c r="B413" s="1"/>
  <c r="B345"/>
  <c r="B357" s="1"/>
  <c r="B369" s="1"/>
  <c r="B381" s="1"/>
  <c r="B393" s="1"/>
  <c r="B405" s="1"/>
  <c r="A361" i="3"/>
  <c r="B373"/>
  <c r="A406"/>
  <c r="V364" i="1"/>
  <c r="V376" s="1"/>
  <c r="V355"/>
  <c r="U355" s="1"/>
  <c r="V354"/>
  <c r="U354" s="1"/>
  <c r="U366" s="1"/>
  <c r="N32" i="5"/>
  <c r="W31"/>
  <c r="B343" i="1"/>
  <c r="B355" s="1"/>
  <c r="B367" s="1"/>
  <c r="B379" s="1"/>
  <c r="B391" s="1"/>
  <c r="B403" s="1"/>
  <c r="AE30" i="5"/>
  <c r="N31"/>
  <c r="AE31"/>
  <c r="V365" i="1"/>
  <c r="V377" s="1"/>
  <c r="V363"/>
  <c r="V375" s="1"/>
  <c r="H451" i="3"/>
  <c r="A398" i="1"/>
  <c r="B410"/>
  <c r="A394"/>
  <c r="A392"/>
  <c r="A391"/>
  <c r="A395"/>
  <c r="A393"/>
  <c r="H31" i="5"/>
  <c r="H294" i="3"/>
  <c r="H295"/>
  <c r="H298"/>
  <c r="H301"/>
  <c r="H303"/>
  <c r="H305"/>
  <c r="H32" i="5"/>
  <c r="H306" i="3"/>
  <c r="H450" s="1"/>
  <c r="A400" i="1"/>
  <c r="A397"/>
  <c r="U365"/>
  <c r="U364"/>
  <c r="U363"/>
  <c r="H360" i="3"/>
  <c r="H454" s="1"/>
  <c r="N30" i="5"/>
  <c r="W30"/>
  <c r="H452" i="3"/>
  <c r="H30" i="5"/>
  <c r="H282" i="3"/>
  <c r="H448" s="1"/>
  <c r="H296"/>
  <c r="H297"/>
  <c r="H299"/>
  <c r="H300"/>
  <c r="H302"/>
  <c r="H304"/>
  <c r="A401" i="1"/>
  <c r="A399"/>
  <c r="B411"/>
  <c r="U361"/>
  <c r="E360" i="3"/>
  <c r="F454"/>
  <c r="V362" i="1"/>
  <c r="V359"/>
  <c r="V357"/>
  <c r="H455" i="3"/>
  <c r="V360" i="1"/>
  <c r="B360"/>
  <c r="B372" s="1"/>
  <c r="B384" s="1"/>
  <c r="B396" s="1"/>
  <c r="V356"/>
  <c r="H36" i="5"/>
  <c r="B342" i="1"/>
  <c r="B354" s="1"/>
  <c r="B366" s="1"/>
  <c r="B378" s="1"/>
  <c r="B390" s="1"/>
  <c r="N280"/>
  <c r="H280"/>
  <c r="C280"/>
  <c r="AE279"/>
  <c r="W279"/>
  <c r="N279"/>
  <c r="H279"/>
  <c r="C279"/>
  <c r="AE278"/>
  <c r="W278"/>
  <c r="N278"/>
  <c r="H278"/>
  <c r="C278"/>
  <c r="AE277"/>
  <c r="W277"/>
  <c r="N277"/>
  <c r="H277"/>
  <c r="C277"/>
  <c r="AE276"/>
  <c r="W276"/>
  <c r="N276"/>
  <c r="H276"/>
  <c r="C276"/>
  <c r="AE275"/>
  <c r="W275"/>
  <c r="N275"/>
  <c r="H275"/>
  <c r="C275"/>
  <c r="AE274"/>
  <c r="W274"/>
  <c r="N274"/>
  <c r="H274"/>
  <c r="C274"/>
  <c r="AE273"/>
  <c r="W273"/>
  <c r="N273"/>
  <c r="H273"/>
  <c r="C273"/>
  <c r="AE272"/>
  <c r="W272"/>
  <c r="N272"/>
  <c r="J272"/>
  <c r="H272"/>
  <c r="E272"/>
  <c r="AE271"/>
  <c r="W271"/>
  <c r="N271"/>
  <c r="H271"/>
  <c r="C271"/>
  <c r="AE270"/>
  <c r="W270"/>
  <c r="N270"/>
  <c r="H270"/>
  <c r="C270"/>
  <c r="AE269"/>
  <c r="W269"/>
  <c r="N269"/>
  <c r="H269"/>
  <c r="C269"/>
  <c r="AE268"/>
  <c r="W268"/>
  <c r="N268"/>
  <c r="H268"/>
  <c r="H268" i="3" s="1"/>
  <c r="C268" i="1"/>
  <c r="AE267"/>
  <c r="W267"/>
  <c r="N267"/>
  <c r="H267"/>
  <c r="H267" i="3" s="1"/>
  <c r="C267" i="1"/>
  <c r="AE266"/>
  <c r="W266"/>
  <c r="N266"/>
  <c r="H266"/>
  <c r="H266" i="3" s="1"/>
  <c r="C266" i="1"/>
  <c r="AE265"/>
  <c r="AB265"/>
  <c r="Z265"/>
  <c r="Y265"/>
  <c r="X265"/>
  <c r="N265"/>
  <c r="H265"/>
  <c r="H265" i="3" s="1"/>
  <c r="C265" i="1"/>
  <c r="AE264"/>
  <c r="AB264"/>
  <c r="Z264"/>
  <c r="Y264"/>
  <c r="X264"/>
  <c r="N264"/>
  <c r="H264"/>
  <c r="H264" i="3" s="1"/>
  <c r="C264" i="1"/>
  <c r="AE263"/>
  <c r="W263"/>
  <c r="N263"/>
  <c r="H263"/>
  <c r="H263" i="3" s="1"/>
  <c r="C263" i="1"/>
  <c r="AE262"/>
  <c r="W262"/>
  <c r="N262"/>
  <c r="H262"/>
  <c r="H262" i="3" s="1"/>
  <c r="C262" i="1"/>
  <c r="AE261"/>
  <c r="W261"/>
  <c r="N261"/>
  <c r="H261"/>
  <c r="H261" i="3" s="1"/>
  <c r="C261" i="1"/>
  <c r="AE260"/>
  <c r="W260"/>
  <c r="N260"/>
  <c r="H260"/>
  <c r="H260" i="3" s="1"/>
  <c r="C260" i="1"/>
  <c r="AE259"/>
  <c r="W259"/>
  <c r="N259"/>
  <c r="H259"/>
  <c r="H259" i="3" s="1"/>
  <c r="E259" i="1"/>
  <c r="AE258"/>
  <c r="W258"/>
  <c r="N258"/>
  <c r="H258"/>
  <c r="C258"/>
  <c r="AE257"/>
  <c r="W257"/>
  <c r="N257"/>
  <c r="H257"/>
  <c r="H257" i="3" s="1"/>
  <c r="C257" i="1"/>
  <c r="AE256"/>
  <c r="W256"/>
  <c r="N256"/>
  <c r="H256"/>
  <c r="H256" i="3" s="1"/>
  <c r="C256" i="1"/>
  <c r="AE255"/>
  <c r="W255"/>
  <c r="N255"/>
  <c r="H255"/>
  <c r="H255" i="3" s="1"/>
  <c r="C255" i="1"/>
  <c r="AE254"/>
  <c r="AB254"/>
  <c r="AA254"/>
  <c r="Z254"/>
  <c r="Y254"/>
  <c r="X254"/>
  <c r="N254"/>
  <c r="H254"/>
  <c r="H254" i="3" s="1"/>
  <c r="C254" i="1"/>
  <c r="AE253"/>
  <c r="AB253"/>
  <c r="AA253"/>
  <c r="Z253"/>
  <c r="Y253"/>
  <c r="X253"/>
  <c r="N253"/>
  <c r="H253"/>
  <c r="H253" i="3" s="1"/>
  <c r="C253" i="1"/>
  <c r="AE252"/>
  <c r="AB252"/>
  <c r="AA252"/>
  <c r="Z252"/>
  <c r="Y252"/>
  <c r="X252"/>
  <c r="N252"/>
  <c r="H252"/>
  <c r="H252" i="3" s="1"/>
  <c r="C252" i="1"/>
  <c r="AE251"/>
  <c r="AB251"/>
  <c r="AA251"/>
  <c r="Z251"/>
  <c r="Y251"/>
  <c r="X251"/>
  <c r="N251"/>
  <c r="H251"/>
  <c r="H251" i="3" s="1"/>
  <c r="C251" i="1"/>
  <c r="AE250"/>
  <c r="AB250"/>
  <c r="AA250"/>
  <c r="Z250"/>
  <c r="Y250"/>
  <c r="X250"/>
  <c r="N250"/>
  <c r="H250"/>
  <c r="H250" i="3" s="1"/>
  <c r="C250" i="1"/>
  <c r="AE249"/>
  <c r="AB249"/>
  <c r="AA249"/>
  <c r="Z249"/>
  <c r="Y249"/>
  <c r="X249"/>
  <c r="N249"/>
  <c r="H249"/>
  <c r="H249" i="3" s="1"/>
  <c r="C249" i="1"/>
  <c r="AE248"/>
  <c r="AB248"/>
  <c r="Z248"/>
  <c r="Y248"/>
  <c r="X248"/>
  <c r="N248"/>
  <c r="F248"/>
  <c r="E248"/>
  <c r="D248"/>
  <c r="AE247"/>
  <c r="W247"/>
  <c r="N247"/>
  <c r="H247"/>
  <c r="H247" i="3" s="1"/>
  <c r="C247" i="1"/>
  <c r="AE246"/>
  <c r="W246"/>
  <c r="N246"/>
  <c r="H246"/>
  <c r="C246"/>
  <c r="AE245"/>
  <c r="W245"/>
  <c r="N245"/>
  <c r="H245"/>
  <c r="H245" i="3" s="1"/>
  <c r="C245" i="1"/>
  <c r="AE244"/>
  <c r="W244"/>
  <c r="N244"/>
  <c r="H244"/>
  <c r="H244" i="3" s="1"/>
  <c r="C244" i="1"/>
  <c r="AE243"/>
  <c r="W243"/>
  <c r="N243"/>
  <c r="H243"/>
  <c r="H243" i="3" s="1"/>
  <c r="C243" i="1"/>
  <c r="AE242"/>
  <c r="W242"/>
  <c r="N242"/>
  <c r="H242"/>
  <c r="H242" i="3" s="1"/>
  <c r="C242" i="1"/>
  <c r="AE241"/>
  <c r="W241"/>
  <c r="N241"/>
  <c r="H241"/>
  <c r="H241" i="3" s="1"/>
  <c r="C241" i="1"/>
  <c r="AE240"/>
  <c r="W240"/>
  <c r="N240"/>
  <c r="H240"/>
  <c r="H240" i="3" s="1"/>
  <c r="C240" i="1"/>
  <c r="AE239"/>
  <c r="W239"/>
  <c r="N239"/>
  <c r="H239"/>
  <c r="H239" i="3" s="1"/>
  <c r="C239" i="1"/>
  <c r="AE238"/>
  <c r="W238"/>
  <c r="N238"/>
  <c r="H238"/>
  <c r="H238" i="3" s="1"/>
  <c r="C238" i="1"/>
  <c r="AE237"/>
  <c r="W237"/>
  <c r="N237"/>
  <c r="H237"/>
  <c r="H237" i="3" s="1"/>
  <c r="C237" i="1"/>
  <c r="AE236"/>
  <c r="W236"/>
  <c r="N236"/>
  <c r="H236"/>
  <c r="H236" i="3" s="1"/>
  <c r="C236" i="1"/>
  <c r="AE235"/>
  <c r="W235"/>
  <c r="N235"/>
  <c r="H235"/>
  <c r="H235" i="3" s="1"/>
  <c r="C235" i="1"/>
  <c r="AE234"/>
  <c r="W234"/>
  <c r="N234"/>
  <c r="H234"/>
  <c r="C234"/>
  <c r="AE233"/>
  <c r="W233"/>
  <c r="N233"/>
  <c r="H233"/>
  <c r="H233" i="3" s="1"/>
  <c r="C233" i="1"/>
  <c r="AE232"/>
  <c r="W232"/>
  <c r="N232"/>
  <c r="H232"/>
  <c r="H232" i="3" s="1"/>
  <c r="C232" i="1"/>
  <c r="AE231"/>
  <c r="W231"/>
  <c r="N231"/>
  <c r="H231"/>
  <c r="H231" i="3" s="1"/>
  <c r="C231" i="1"/>
  <c r="AE230"/>
  <c r="W230"/>
  <c r="N230"/>
  <c r="H230"/>
  <c r="H230" i="3" s="1"/>
  <c r="C230" i="1"/>
  <c r="AE229"/>
  <c r="W229"/>
  <c r="N229"/>
  <c r="H229"/>
  <c r="H229" i="3" s="1"/>
  <c r="C229" i="1"/>
  <c r="AE228"/>
  <c r="W228"/>
  <c r="N228"/>
  <c r="H228"/>
  <c r="H228" i="3" s="1"/>
  <c r="C228" i="1"/>
  <c r="AE227"/>
  <c r="W227"/>
  <c r="N227"/>
  <c r="H227"/>
  <c r="H227" i="3" s="1"/>
  <c r="C227" i="1"/>
  <c r="AE226"/>
  <c r="W226"/>
  <c r="N226"/>
  <c r="H226"/>
  <c r="H226" i="3" s="1"/>
  <c r="C226" i="1"/>
  <c r="AE225"/>
  <c r="W225"/>
  <c r="N225"/>
  <c r="H225"/>
  <c r="H225" i="3" s="1"/>
  <c r="C225" i="1"/>
  <c r="AE224"/>
  <c r="W224"/>
  <c r="N224"/>
  <c r="H224"/>
  <c r="C224"/>
  <c r="AE223"/>
  <c r="W223"/>
  <c r="N223"/>
  <c r="H223"/>
  <c r="C223"/>
  <c r="AE222"/>
  <c r="W222"/>
  <c r="N222"/>
  <c r="H222"/>
  <c r="C222"/>
  <c r="AE221"/>
  <c r="W221"/>
  <c r="N221"/>
  <c r="H221"/>
  <c r="C221"/>
  <c r="AE220"/>
  <c r="W220"/>
  <c r="N220"/>
  <c r="H220"/>
  <c r="C220"/>
  <c r="AE219"/>
  <c r="W219"/>
  <c r="N219"/>
  <c r="H219"/>
  <c r="C219"/>
  <c r="AE218"/>
  <c r="W218"/>
  <c r="N218"/>
  <c r="H218"/>
  <c r="C218"/>
  <c r="AE217"/>
  <c r="W217"/>
  <c r="N217"/>
  <c r="H217"/>
  <c r="C217"/>
  <c r="AE216"/>
  <c r="W216"/>
  <c r="N216"/>
  <c r="H216"/>
  <c r="C216"/>
  <c r="AE215"/>
  <c r="W215"/>
  <c r="N215"/>
  <c r="H215"/>
  <c r="C215"/>
  <c r="AE214"/>
  <c r="W214"/>
  <c r="N214"/>
  <c r="H214"/>
  <c r="C214"/>
  <c r="AE213"/>
  <c r="W213"/>
  <c r="N213"/>
  <c r="H213"/>
  <c r="C213"/>
  <c r="AE212"/>
  <c r="W212"/>
  <c r="N212"/>
  <c r="H212"/>
  <c r="C212"/>
  <c r="AE211"/>
  <c r="W211"/>
  <c r="N211"/>
  <c r="H211"/>
  <c r="C211"/>
  <c r="AE210"/>
  <c r="W210"/>
  <c r="N210"/>
  <c r="H210"/>
  <c r="C210"/>
  <c r="AE209"/>
  <c r="W209"/>
  <c r="N209"/>
  <c r="H209"/>
  <c r="C209"/>
  <c r="AE208"/>
  <c r="W208"/>
  <c r="N208"/>
  <c r="H208"/>
  <c r="C208"/>
  <c r="AE207"/>
  <c r="W207"/>
  <c r="N207"/>
  <c r="H207"/>
  <c r="C207"/>
  <c r="AE206"/>
  <c r="W206"/>
  <c r="N206"/>
  <c r="H206"/>
  <c r="C206"/>
  <c r="AE205"/>
  <c r="W205"/>
  <c r="N205"/>
  <c r="H205"/>
  <c r="C205"/>
  <c r="AE204"/>
  <c r="W204"/>
  <c r="N204"/>
  <c r="H204"/>
  <c r="C204"/>
  <c r="AE203"/>
  <c r="W203"/>
  <c r="N203"/>
  <c r="H203"/>
  <c r="C203"/>
  <c r="AE202"/>
  <c r="W202"/>
  <c r="N202"/>
  <c r="H202"/>
  <c r="C202"/>
  <c r="AE201"/>
  <c r="W201"/>
  <c r="N201"/>
  <c r="H201"/>
  <c r="C201"/>
  <c r="AE200"/>
  <c r="W200"/>
  <c r="N200"/>
  <c r="H200"/>
  <c r="C200"/>
  <c r="AE199"/>
  <c r="W199"/>
  <c r="N199"/>
  <c r="H199"/>
  <c r="C199"/>
  <c r="AE198"/>
  <c r="W198"/>
  <c r="N198"/>
  <c r="H198"/>
  <c r="C198"/>
  <c r="AE197"/>
  <c r="W197"/>
  <c r="N197"/>
  <c r="H197"/>
  <c r="C197"/>
  <c r="AE196"/>
  <c r="W196"/>
  <c r="N196"/>
  <c r="H196"/>
  <c r="C196"/>
  <c r="AE195"/>
  <c r="W195"/>
  <c r="N195"/>
  <c r="H195"/>
  <c r="C195"/>
  <c r="AE194"/>
  <c r="W194"/>
  <c r="N194"/>
  <c r="H194"/>
  <c r="C194"/>
  <c r="AE193"/>
  <c r="W193"/>
  <c r="N193"/>
  <c r="H193"/>
  <c r="C193"/>
  <c r="AE192"/>
  <c r="W192"/>
  <c r="N192"/>
  <c r="H192"/>
  <c r="C192"/>
  <c r="AE191"/>
  <c r="W191"/>
  <c r="N191"/>
  <c r="H191"/>
  <c r="C191"/>
  <c r="AE190"/>
  <c r="W190"/>
  <c r="N190"/>
  <c r="H190"/>
  <c r="C190"/>
  <c r="AE189"/>
  <c r="W189"/>
  <c r="N189"/>
  <c r="H189"/>
  <c r="C189"/>
  <c r="AE188"/>
  <c r="W188"/>
  <c r="N188"/>
  <c r="H188"/>
  <c r="C188"/>
  <c r="AE187"/>
  <c r="W187"/>
  <c r="N187"/>
  <c r="H187"/>
  <c r="C187"/>
  <c r="AE186"/>
  <c r="W186"/>
  <c r="N186"/>
  <c r="H186"/>
  <c r="C186"/>
  <c r="AE185"/>
  <c r="W185"/>
  <c r="N185"/>
  <c r="H185"/>
  <c r="C185"/>
  <c r="AE184"/>
  <c r="W184"/>
  <c r="N184"/>
  <c r="H184"/>
  <c r="C184"/>
  <c r="AE183"/>
  <c r="W183"/>
  <c r="N183"/>
  <c r="H183"/>
  <c r="C183"/>
  <c r="AE182"/>
  <c r="W182"/>
  <c r="N182"/>
  <c r="H182"/>
  <c r="C182"/>
  <c r="AE181"/>
  <c r="W181"/>
  <c r="N181"/>
  <c r="H181"/>
  <c r="C181"/>
  <c r="AE180"/>
  <c r="W180"/>
  <c r="N180"/>
  <c r="H180"/>
  <c r="C180"/>
  <c r="AE179"/>
  <c r="W179"/>
  <c r="N179"/>
  <c r="H179"/>
  <c r="C179"/>
  <c r="AE178"/>
  <c r="W178"/>
  <c r="N178"/>
  <c r="H178"/>
  <c r="C178"/>
  <c r="AE177"/>
  <c r="W177"/>
  <c r="N177"/>
  <c r="H177"/>
  <c r="C177"/>
  <c r="AE176"/>
  <c r="W176"/>
  <c r="N176"/>
  <c r="H176"/>
  <c r="C176"/>
  <c r="AE175"/>
  <c r="W175"/>
  <c r="N175"/>
  <c r="H175"/>
  <c r="C175"/>
  <c r="AE174"/>
  <c r="W174"/>
  <c r="N174"/>
  <c r="H174"/>
  <c r="C174"/>
  <c r="AE173"/>
  <c r="W173"/>
  <c r="N173"/>
  <c r="H173"/>
  <c r="C173"/>
  <c r="AE172"/>
  <c r="W172"/>
  <c r="N172"/>
  <c r="H172"/>
  <c r="C172"/>
  <c r="AE171"/>
  <c r="W171"/>
  <c r="N171"/>
  <c r="H171"/>
  <c r="C171"/>
  <c r="AE170"/>
  <c r="W170"/>
  <c r="N170"/>
  <c r="H170"/>
  <c r="C170"/>
  <c r="AE169"/>
  <c r="W169"/>
  <c r="N169"/>
  <c r="H169"/>
  <c r="C169"/>
  <c r="AE168"/>
  <c r="W168"/>
  <c r="N168"/>
  <c r="H168"/>
  <c r="C168"/>
  <c r="AE167"/>
  <c r="W167"/>
  <c r="N167"/>
  <c r="H167"/>
  <c r="C167"/>
  <c r="AE166"/>
  <c r="W166"/>
  <c r="N166"/>
  <c r="H166"/>
  <c r="C166"/>
  <c r="AE165"/>
  <c r="W165"/>
  <c r="N165"/>
  <c r="H165"/>
  <c r="C165"/>
  <c r="AE164"/>
  <c r="W164"/>
  <c r="N164"/>
  <c r="H164"/>
  <c r="C164"/>
  <c r="AE163"/>
  <c r="W163"/>
  <c r="N163"/>
  <c r="H163"/>
  <c r="C163"/>
  <c r="AE162"/>
  <c r="W162"/>
  <c r="N162"/>
  <c r="H162"/>
  <c r="C162"/>
  <c r="AE161"/>
  <c r="W161"/>
  <c r="N161"/>
  <c r="H161"/>
  <c r="C161"/>
  <c r="AE160"/>
  <c r="W160"/>
  <c r="N160"/>
  <c r="H160"/>
  <c r="C160"/>
  <c r="AE159"/>
  <c r="W159"/>
  <c r="N159"/>
  <c r="H159"/>
  <c r="C159"/>
  <c r="AE158"/>
  <c r="W158"/>
  <c r="N158"/>
  <c r="H158"/>
  <c r="C158"/>
  <c r="AE157"/>
  <c r="W157"/>
  <c r="N157"/>
  <c r="H157"/>
  <c r="C157"/>
  <c r="AE156"/>
  <c r="W156"/>
  <c r="N156"/>
  <c r="H156"/>
  <c r="C156"/>
  <c r="AE155"/>
  <c r="W155"/>
  <c r="N155"/>
  <c r="H155"/>
  <c r="C155"/>
  <c r="AE154"/>
  <c r="W154"/>
  <c r="N154"/>
  <c r="H154"/>
  <c r="C154"/>
  <c r="AE153"/>
  <c r="W153"/>
  <c r="N153"/>
  <c r="H153"/>
  <c r="C153"/>
  <c r="AE152"/>
  <c r="W152"/>
  <c r="N152"/>
  <c r="H152"/>
  <c r="C152"/>
  <c r="AE151"/>
  <c r="W151"/>
  <c r="N151"/>
  <c r="H151"/>
  <c r="C151"/>
  <c r="AE150"/>
  <c r="W150"/>
  <c r="N150"/>
  <c r="H150"/>
  <c r="C150"/>
  <c r="AE149"/>
  <c r="W149"/>
  <c r="N149"/>
  <c r="H149"/>
  <c r="C149"/>
  <c r="AE148"/>
  <c r="W148"/>
  <c r="N148"/>
  <c r="H148"/>
  <c r="C148"/>
  <c r="AE147"/>
  <c r="W147"/>
  <c r="N147"/>
  <c r="H147"/>
  <c r="C147"/>
  <c r="AE146"/>
  <c r="W146"/>
  <c r="N146"/>
  <c r="H146"/>
  <c r="C146"/>
  <c r="AE145"/>
  <c r="W145"/>
  <c r="N145"/>
  <c r="H145"/>
  <c r="C145"/>
  <c r="AE144"/>
  <c r="W144"/>
  <c r="N144"/>
  <c r="H144"/>
  <c r="C144"/>
  <c r="AE143"/>
  <c r="W143"/>
  <c r="N143"/>
  <c r="H143"/>
  <c r="C143"/>
  <c r="AE142"/>
  <c r="W142"/>
  <c r="N142"/>
  <c r="H142"/>
  <c r="C142"/>
  <c r="AE141"/>
  <c r="W141"/>
  <c r="N141"/>
  <c r="H141"/>
  <c r="C141"/>
  <c r="AE140"/>
  <c r="W140"/>
  <c r="N140"/>
  <c r="H140"/>
  <c r="C140"/>
  <c r="AE139"/>
  <c r="W139"/>
  <c r="N139"/>
  <c r="H139"/>
  <c r="C139"/>
  <c r="AE138"/>
  <c r="W138"/>
  <c r="N138"/>
  <c r="H138"/>
  <c r="C138"/>
  <c r="AE137"/>
  <c r="W137"/>
  <c r="N137"/>
  <c r="H137"/>
  <c r="C137"/>
  <c r="AE136"/>
  <c r="W136"/>
  <c r="N136"/>
  <c r="H136"/>
  <c r="C136"/>
  <c r="AE135"/>
  <c r="W135"/>
  <c r="N135"/>
  <c r="H135"/>
  <c r="C135"/>
  <c r="AE134"/>
  <c r="W134"/>
  <c r="N134"/>
  <c r="H134"/>
  <c r="C134"/>
  <c r="AE133"/>
  <c r="W133"/>
  <c r="N133"/>
  <c r="H133"/>
  <c r="C133"/>
  <c r="AE132"/>
  <c r="W132"/>
  <c r="N132"/>
  <c r="H132"/>
  <c r="C132"/>
  <c r="AE131"/>
  <c r="W131"/>
  <c r="N131"/>
  <c r="H131"/>
  <c r="C131"/>
  <c r="AE130"/>
  <c r="W130"/>
  <c r="N130"/>
  <c r="H130"/>
  <c r="C130"/>
  <c r="AE129"/>
  <c r="W129"/>
  <c r="N129"/>
  <c r="H129"/>
  <c r="C129"/>
  <c r="AE128"/>
  <c r="W128"/>
  <c r="N128"/>
  <c r="H128"/>
  <c r="C128"/>
  <c r="AE127"/>
  <c r="W127"/>
  <c r="N127"/>
  <c r="H127"/>
  <c r="C127"/>
  <c r="AE126"/>
  <c r="W126"/>
  <c r="N126"/>
  <c r="H126"/>
  <c r="C126"/>
  <c r="AE125"/>
  <c r="W125"/>
  <c r="N125"/>
  <c r="H125"/>
  <c r="C125"/>
  <c r="AE124"/>
  <c r="W124"/>
  <c r="N124"/>
  <c r="H124"/>
  <c r="C124"/>
  <c r="AE123"/>
  <c r="W123"/>
  <c r="N123"/>
  <c r="H123"/>
  <c r="C123"/>
  <c r="AE122"/>
  <c r="W122"/>
  <c r="N122"/>
  <c r="H122"/>
  <c r="C122"/>
  <c r="AE121"/>
  <c r="W121"/>
  <c r="N121"/>
  <c r="H121"/>
  <c r="C121"/>
  <c r="AE120"/>
  <c r="W120"/>
  <c r="N120"/>
  <c r="H120"/>
  <c r="C120"/>
  <c r="AE119"/>
  <c r="W119"/>
  <c r="N119"/>
  <c r="H119"/>
  <c r="C119"/>
  <c r="AE118"/>
  <c r="W118"/>
  <c r="N118"/>
  <c r="H118"/>
  <c r="C118"/>
  <c r="AE117"/>
  <c r="W117"/>
  <c r="N117"/>
  <c r="H117"/>
  <c r="C117"/>
  <c r="AE116"/>
  <c r="W116"/>
  <c r="N116"/>
  <c r="H116"/>
  <c r="C116"/>
  <c r="AE115"/>
  <c r="W115"/>
  <c r="N115"/>
  <c r="H115"/>
  <c r="C115"/>
  <c r="AE114"/>
  <c r="W114"/>
  <c r="N114"/>
  <c r="H114"/>
  <c r="C114"/>
  <c r="AE113"/>
  <c r="W113"/>
  <c r="N113"/>
  <c r="H113"/>
  <c r="C113"/>
  <c r="AE112"/>
  <c r="W112"/>
  <c r="N112"/>
  <c r="H112"/>
  <c r="C112"/>
  <c r="AE111"/>
  <c r="W111"/>
  <c r="N111"/>
  <c r="H111"/>
  <c r="C111"/>
  <c r="AE110"/>
  <c r="W110"/>
  <c r="N110"/>
  <c r="H110"/>
  <c r="C110"/>
  <c r="AE109"/>
  <c r="W109"/>
  <c r="N109"/>
  <c r="H109"/>
  <c r="C109"/>
  <c r="AE108"/>
  <c r="W108"/>
  <c r="N108"/>
  <c r="H108"/>
  <c r="C108"/>
  <c r="AE107"/>
  <c r="W107"/>
  <c r="N107"/>
  <c r="H107"/>
  <c r="C107"/>
  <c r="AE106"/>
  <c r="W106"/>
  <c r="N106"/>
  <c r="H106"/>
  <c r="C106"/>
  <c r="AE105"/>
  <c r="W105"/>
  <c r="N105"/>
  <c r="H105"/>
  <c r="C105"/>
  <c r="AE104"/>
  <c r="W104"/>
  <c r="N104"/>
  <c r="H104"/>
  <c r="C104"/>
  <c r="AE103"/>
  <c r="W103"/>
  <c r="N103"/>
  <c r="H103"/>
  <c r="C103"/>
  <c r="AE102"/>
  <c r="W102"/>
  <c r="N102"/>
  <c r="H102"/>
  <c r="C102"/>
  <c r="AE101"/>
  <c r="W101"/>
  <c r="N101"/>
  <c r="H101"/>
  <c r="C101"/>
  <c r="AE100"/>
  <c r="W100"/>
  <c r="N100"/>
  <c r="H100"/>
  <c r="C100"/>
  <c r="AE99"/>
  <c r="W99"/>
  <c r="N99"/>
  <c r="H99"/>
  <c r="C99"/>
  <c r="AE98"/>
  <c r="W98"/>
  <c r="N98"/>
  <c r="H98"/>
  <c r="C98"/>
  <c r="AE97"/>
  <c r="W97"/>
  <c r="N97"/>
  <c r="H97"/>
  <c r="C97"/>
  <c r="AE96"/>
  <c r="W96"/>
  <c r="N96"/>
  <c r="H96"/>
  <c r="C96"/>
  <c r="AE95"/>
  <c r="W95"/>
  <c r="N95"/>
  <c r="H95"/>
  <c r="C95"/>
  <c r="AE94"/>
  <c r="W94"/>
  <c r="N94"/>
  <c r="H94"/>
  <c r="C94"/>
  <c r="AE93"/>
  <c r="W93"/>
  <c r="N93"/>
  <c r="H93"/>
  <c r="C93"/>
  <c r="AE92"/>
  <c r="W92"/>
  <c r="N92"/>
  <c r="H92"/>
  <c r="C92"/>
  <c r="AE91"/>
  <c r="W91"/>
  <c r="N91"/>
  <c r="H91"/>
  <c r="C91"/>
  <c r="AE90"/>
  <c r="W90"/>
  <c r="N90"/>
  <c r="H90"/>
  <c r="C90"/>
  <c r="AE89"/>
  <c r="W89"/>
  <c r="N89"/>
  <c r="H89"/>
  <c r="C89"/>
  <c r="AE88"/>
  <c r="W88"/>
  <c r="N88"/>
  <c r="H88"/>
  <c r="C88"/>
  <c r="AE87"/>
  <c r="W87"/>
  <c r="N87"/>
  <c r="H87"/>
  <c r="C87"/>
  <c r="AE86"/>
  <c r="W86"/>
  <c r="N86"/>
  <c r="H86"/>
  <c r="C86"/>
  <c r="AE85"/>
  <c r="W85"/>
  <c r="N85"/>
  <c r="H85"/>
  <c r="C85"/>
  <c r="AE84"/>
  <c r="W84"/>
  <c r="N84"/>
  <c r="H84"/>
  <c r="C84"/>
  <c r="AE83"/>
  <c r="W83"/>
  <c r="N83"/>
  <c r="H83"/>
  <c r="C83"/>
  <c r="AE82"/>
  <c r="W82"/>
  <c r="N82"/>
  <c r="H82"/>
  <c r="C82"/>
  <c r="AE81"/>
  <c r="W81"/>
  <c r="N81"/>
  <c r="H81"/>
  <c r="C81"/>
  <c r="AE80"/>
  <c r="W80"/>
  <c r="N80"/>
  <c r="H80"/>
  <c r="C80"/>
  <c r="AE79"/>
  <c r="W79"/>
  <c r="N79"/>
  <c r="H79"/>
  <c r="C79"/>
  <c r="AE78"/>
  <c r="W78"/>
  <c r="N78"/>
  <c r="H78"/>
  <c r="C78"/>
  <c r="AE77"/>
  <c r="W77"/>
  <c r="H77"/>
  <c r="C77"/>
  <c r="AE76"/>
  <c r="W76"/>
  <c r="H76"/>
  <c r="C76"/>
  <c r="AE75"/>
  <c r="W75"/>
  <c r="H75"/>
  <c r="C75"/>
  <c r="AE74"/>
  <c r="W74"/>
  <c r="H74"/>
  <c r="C74"/>
  <c r="AE73"/>
  <c r="W73"/>
  <c r="H73"/>
  <c r="C73"/>
  <c r="AE72"/>
  <c r="W72"/>
  <c r="H72"/>
  <c r="C72"/>
  <c r="AE71"/>
  <c r="W71"/>
  <c r="H71"/>
  <c r="C71"/>
  <c r="AE70"/>
  <c r="W70"/>
  <c r="H70"/>
  <c r="C70"/>
  <c r="AE69"/>
  <c r="W69"/>
  <c r="H69"/>
  <c r="C69"/>
  <c r="AE68"/>
  <c r="W68"/>
  <c r="H68"/>
  <c r="C68"/>
  <c r="AE67"/>
  <c r="W67"/>
  <c r="H67"/>
  <c r="C67"/>
  <c r="AE66"/>
  <c r="W66"/>
  <c r="H66"/>
  <c r="H12" i="5" s="1"/>
  <c r="C66" i="1"/>
  <c r="AE65"/>
  <c r="W65"/>
  <c r="H65"/>
  <c r="C65"/>
  <c r="AE64"/>
  <c r="W64"/>
  <c r="H64"/>
  <c r="C64"/>
  <c r="AE63"/>
  <c r="W63"/>
  <c r="H63"/>
  <c r="C63"/>
  <c r="AE62"/>
  <c r="W62"/>
  <c r="H62"/>
  <c r="C62"/>
  <c r="AE61"/>
  <c r="W61"/>
  <c r="H61"/>
  <c r="C61"/>
  <c r="AE60"/>
  <c r="W60"/>
  <c r="H60"/>
  <c r="C60"/>
  <c r="AE59"/>
  <c r="W59"/>
  <c r="H59"/>
  <c r="C59"/>
  <c r="AE58"/>
  <c r="W58"/>
  <c r="H58"/>
  <c r="C58"/>
  <c r="AE57"/>
  <c r="W57"/>
  <c r="H57"/>
  <c r="C57"/>
  <c r="AE56"/>
  <c r="W56"/>
  <c r="H56"/>
  <c r="C56"/>
  <c r="AE55"/>
  <c r="W55"/>
  <c r="H55"/>
  <c r="C55"/>
  <c r="AE54"/>
  <c r="W54"/>
  <c r="H54"/>
  <c r="C54"/>
  <c r="AE53"/>
  <c r="W53"/>
  <c r="H53"/>
  <c r="C53"/>
  <c r="AE52"/>
  <c r="W52"/>
  <c r="H52"/>
  <c r="C52"/>
  <c r="AE51"/>
  <c r="W51"/>
  <c r="H51"/>
  <c r="C51"/>
  <c r="AE50"/>
  <c r="W50"/>
  <c r="H50"/>
  <c r="C50"/>
  <c r="AE49"/>
  <c r="W49"/>
  <c r="H49"/>
  <c r="C49"/>
  <c r="AE48"/>
  <c r="W48"/>
  <c r="H48"/>
  <c r="C48"/>
  <c r="AE47"/>
  <c r="W47"/>
  <c r="H47"/>
  <c r="C47"/>
  <c r="AE46"/>
  <c r="W46"/>
  <c r="H46"/>
  <c r="C46"/>
  <c r="AE45"/>
  <c r="W45"/>
  <c r="H45"/>
  <c r="C45"/>
  <c r="AE44"/>
  <c r="W44"/>
  <c r="H44"/>
  <c r="C44"/>
  <c r="AE43"/>
  <c r="W43"/>
  <c r="H43"/>
  <c r="C43"/>
  <c r="AE42"/>
  <c r="W42"/>
  <c r="H42"/>
  <c r="C42"/>
  <c r="AE41"/>
  <c r="W41"/>
  <c r="H41"/>
  <c r="C41"/>
  <c r="AE40"/>
  <c r="W40"/>
  <c r="H40"/>
  <c r="C40"/>
  <c r="AE39"/>
  <c r="W39"/>
  <c r="H39"/>
  <c r="C39"/>
  <c r="AE38"/>
  <c r="W38"/>
  <c r="H38"/>
  <c r="C38"/>
  <c r="AE37"/>
  <c r="W37"/>
  <c r="H37"/>
  <c r="C37"/>
  <c r="AE36"/>
  <c r="W36"/>
  <c r="H36"/>
  <c r="C36"/>
  <c r="AE35"/>
  <c r="W35"/>
  <c r="H35"/>
  <c r="C35"/>
  <c r="AE34"/>
  <c r="W34"/>
  <c r="H34"/>
  <c r="C34"/>
  <c r="AE33"/>
  <c r="W33"/>
  <c r="H33"/>
  <c r="C33"/>
  <c r="AE32"/>
  <c r="W32"/>
  <c r="H32"/>
  <c r="C32"/>
  <c r="V367" l="1"/>
  <c r="V370"/>
  <c r="V382" s="1"/>
  <c r="W12" i="5"/>
  <c r="V366" i="1"/>
  <c r="V378" s="1"/>
  <c r="V390" s="1"/>
  <c r="AE12" i="5"/>
  <c r="A373" i="3"/>
  <c r="B385"/>
  <c r="N14" i="5"/>
  <c r="W249" i="1"/>
  <c r="AE14" i="5"/>
  <c r="N17"/>
  <c r="AE17"/>
  <c r="N18"/>
  <c r="AE18"/>
  <c r="N19"/>
  <c r="AE19"/>
  <c r="N20"/>
  <c r="AE20"/>
  <c r="N21"/>
  <c r="AE21"/>
  <c r="N22"/>
  <c r="AE22"/>
  <c r="Z265" i="3"/>
  <c r="W253" i="1"/>
  <c r="W254"/>
  <c r="N23" i="5"/>
  <c r="AE23"/>
  <c r="W248" i="1"/>
  <c r="W10" i="5"/>
  <c r="A413" i="1"/>
  <c r="W11" i="5"/>
  <c r="Y249" i="3"/>
  <c r="AF250" i="1"/>
  <c r="AB250" i="3"/>
  <c r="AE250" s="1"/>
  <c r="AF251" i="1"/>
  <c r="AB251" i="3"/>
  <c r="AE251" s="1"/>
  <c r="Y252"/>
  <c r="Y253"/>
  <c r="Y254"/>
  <c r="AF264" i="1"/>
  <c r="AF265"/>
  <c r="AF248"/>
  <c r="AF249"/>
  <c r="AB249" i="3"/>
  <c r="AE249" s="1"/>
  <c r="Y250"/>
  <c r="Y251"/>
  <c r="AF252" i="1"/>
  <c r="AB252" i="3"/>
  <c r="AE252" s="1"/>
  <c r="AF253" i="1"/>
  <c r="AB253" i="3"/>
  <c r="AE253" s="1"/>
  <c r="AF254" i="1"/>
  <c r="AB254" i="3"/>
  <c r="AE254" s="1"/>
  <c r="Y265"/>
  <c r="N13" i="5"/>
  <c r="AE13"/>
  <c r="H15"/>
  <c r="W15"/>
  <c r="H16"/>
  <c r="W16"/>
  <c r="W24"/>
  <c r="H25"/>
  <c r="W25"/>
  <c r="H443" i="3"/>
  <c r="W26" i="5"/>
  <c r="W251" i="1"/>
  <c r="N28" i="5"/>
  <c r="C259" i="1"/>
  <c r="W265"/>
  <c r="W29" i="5"/>
  <c r="C272" i="1"/>
  <c r="O280"/>
  <c r="Q280" s="1"/>
  <c r="S280" s="1"/>
  <c r="H23" i="5"/>
  <c r="H10"/>
  <c r="AE10"/>
  <c r="H11"/>
  <c r="AE11"/>
  <c r="H13"/>
  <c r="W13"/>
  <c r="H14"/>
  <c r="W14"/>
  <c r="N15"/>
  <c r="AE15"/>
  <c r="N16"/>
  <c r="AE16"/>
  <c r="H17"/>
  <c r="W17"/>
  <c r="H18"/>
  <c r="W18"/>
  <c r="H19"/>
  <c r="W19"/>
  <c r="H20"/>
  <c r="W20"/>
  <c r="H21"/>
  <c r="W21"/>
  <c r="H22"/>
  <c r="W22"/>
  <c r="W23"/>
  <c r="H24"/>
  <c r="H26"/>
  <c r="H234" i="3"/>
  <c r="H444" s="1"/>
  <c r="H246"/>
  <c r="D27" i="5"/>
  <c r="D248" i="3"/>
  <c r="F27" i="5"/>
  <c r="F248" i="3"/>
  <c r="F445" s="1"/>
  <c r="Y27" i="5"/>
  <c r="Y248" i="3"/>
  <c r="AB27" i="5"/>
  <c r="AB248" i="3"/>
  <c r="AA27" i="5"/>
  <c r="AA249" i="3"/>
  <c r="X250"/>
  <c r="AA250"/>
  <c r="Z250" s="1"/>
  <c r="X252"/>
  <c r="AA252"/>
  <c r="Z252" s="1"/>
  <c r="X28" i="5"/>
  <c r="X264" i="3"/>
  <c r="Z28" i="5"/>
  <c r="Z264" i="3"/>
  <c r="AB265"/>
  <c r="H269"/>
  <c r="H29" i="5"/>
  <c r="H270" i="3"/>
  <c r="H271"/>
  <c r="H272"/>
  <c r="H274"/>
  <c r="H278"/>
  <c r="H279"/>
  <c r="H280"/>
  <c r="U356" i="1"/>
  <c r="V368"/>
  <c r="A396"/>
  <c r="B408"/>
  <c r="U370"/>
  <c r="U357"/>
  <c r="V369"/>
  <c r="U378"/>
  <c r="U373"/>
  <c r="V385"/>
  <c r="A411"/>
  <c r="B423"/>
  <c r="H449" i="3"/>
  <c r="E27" i="5"/>
  <c r="E248" i="3"/>
  <c r="E445" s="1"/>
  <c r="X27" i="5"/>
  <c r="X248" i="3"/>
  <c r="Z27" i="5"/>
  <c r="Z248" i="3"/>
  <c r="X249"/>
  <c r="X251"/>
  <c r="AA251"/>
  <c r="Z251" s="1"/>
  <c r="X253"/>
  <c r="AA253"/>
  <c r="Z253" s="1"/>
  <c r="X254"/>
  <c r="AA254"/>
  <c r="Z254" s="1"/>
  <c r="H28" i="5"/>
  <c r="H258" i="3"/>
  <c r="E28" i="5"/>
  <c r="B28" s="1"/>
  <c r="E259" i="3"/>
  <c r="Y28" i="5"/>
  <c r="Y264" i="3"/>
  <c r="AB28" i="5"/>
  <c r="AB264" i="3"/>
  <c r="X265"/>
  <c r="E29" i="5"/>
  <c r="E272" i="3"/>
  <c r="J29" i="5"/>
  <c r="J272" i="3"/>
  <c r="J447" s="1"/>
  <c r="H273"/>
  <c r="H275"/>
  <c r="H276"/>
  <c r="H277"/>
  <c r="M29" i="5"/>
  <c r="N281" i="1"/>
  <c r="N29" i="5" s="1"/>
  <c r="A390" i="1"/>
  <c r="B402"/>
  <c r="U360"/>
  <c r="V372"/>
  <c r="U359"/>
  <c r="V371"/>
  <c r="U362"/>
  <c r="V374"/>
  <c r="U367"/>
  <c r="V379"/>
  <c r="D360" i="3"/>
  <c r="E454"/>
  <c r="U375" i="1"/>
  <c r="V387"/>
  <c r="U376"/>
  <c r="V388"/>
  <c r="U377"/>
  <c r="V389"/>
  <c r="A409"/>
  <c r="B421"/>
  <c r="A405"/>
  <c r="B417"/>
  <c r="A407"/>
  <c r="B419"/>
  <c r="A403"/>
  <c r="B415"/>
  <c r="A404"/>
  <c r="B416"/>
  <c r="A406"/>
  <c r="B418"/>
  <c r="A410"/>
  <c r="B422"/>
  <c r="N24" i="5"/>
  <c r="AE24"/>
  <c r="N25"/>
  <c r="AE25"/>
  <c r="N26"/>
  <c r="AE26"/>
  <c r="N27"/>
  <c r="AE27"/>
  <c r="C248" i="1"/>
  <c r="H248"/>
  <c r="H27" i="5" s="1"/>
  <c r="W250" i="1"/>
  <c r="W252"/>
  <c r="AE28" i="5"/>
  <c r="W264" i="1"/>
  <c r="AE29" i="5"/>
  <c r="A412" i="1"/>
  <c r="AE31"/>
  <c r="W31"/>
  <c r="H31"/>
  <c r="C31"/>
  <c r="AE30"/>
  <c r="W30"/>
  <c r="H30"/>
  <c r="C30"/>
  <c r="AE29"/>
  <c r="W29"/>
  <c r="H29"/>
  <c r="C29"/>
  <c r="AE28"/>
  <c r="W28"/>
  <c r="H28"/>
  <c r="C28"/>
  <c r="AE27"/>
  <c r="W27"/>
  <c r="H27"/>
  <c r="C27"/>
  <c r="AE26"/>
  <c r="W26"/>
  <c r="H26"/>
  <c r="C26"/>
  <c r="AE25"/>
  <c r="W25"/>
  <c r="H25"/>
  <c r="C25"/>
  <c r="AE24"/>
  <c r="W24"/>
  <c r="H24"/>
  <c r="C24"/>
  <c r="AE23"/>
  <c r="W23"/>
  <c r="H23"/>
  <c r="C23"/>
  <c r="AE22"/>
  <c r="W22"/>
  <c r="H22"/>
  <c r="C22"/>
  <c r="AE21"/>
  <c r="W21"/>
  <c r="H21"/>
  <c r="C21"/>
  <c r="AE20"/>
  <c r="W20"/>
  <c r="H20"/>
  <c r="C20"/>
  <c r="AE19"/>
  <c r="W19"/>
  <c r="H19"/>
  <c r="C19"/>
  <c r="AE18"/>
  <c r="W18"/>
  <c r="H18"/>
  <c r="C18"/>
  <c r="W17"/>
  <c r="H17"/>
  <c r="C17"/>
  <c r="W16"/>
  <c r="H16"/>
  <c r="C16"/>
  <c r="W15"/>
  <c r="H15"/>
  <c r="C15"/>
  <c r="W14"/>
  <c r="H14"/>
  <c r="C14"/>
  <c r="W13"/>
  <c r="H13"/>
  <c r="C13"/>
  <c r="W12"/>
  <c r="H12"/>
  <c r="C12"/>
  <c r="W11"/>
  <c r="H11"/>
  <c r="C11"/>
  <c r="W10"/>
  <c r="H10"/>
  <c r="C10"/>
  <c r="W9"/>
  <c r="H9"/>
  <c r="C9"/>
  <c r="W8"/>
  <c r="H8"/>
  <c r="C8"/>
  <c r="W7"/>
  <c r="H7"/>
  <c r="C7"/>
  <c r="AF6"/>
  <c r="W6"/>
  <c r="H6"/>
  <c r="C6"/>
  <c r="Z446" i="3" l="1"/>
  <c r="B27" i="5"/>
  <c r="AB446" i="3"/>
  <c r="H446"/>
  <c r="A385"/>
  <c r="B397"/>
  <c r="Y446"/>
  <c r="W265"/>
  <c r="Y445"/>
  <c r="H7" i="5"/>
  <c r="AE9"/>
  <c r="W8"/>
  <c r="W9"/>
  <c r="W252" i="3"/>
  <c r="W250"/>
  <c r="A422" i="1"/>
  <c r="A434" s="1"/>
  <c r="A446" s="1"/>
  <c r="A458" s="1"/>
  <c r="A470" s="1"/>
  <c r="B434"/>
  <c r="B446" s="1"/>
  <c r="B458" s="1"/>
  <c r="B470" s="1"/>
  <c r="A418"/>
  <c r="A430" s="1"/>
  <c r="A442" s="1"/>
  <c r="A454" s="1"/>
  <c r="A466" s="1"/>
  <c r="B430"/>
  <c r="B442" s="1"/>
  <c r="B454" s="1"/>
  <c r="B466" s="1"/>
  <c r="A416"/>
  <c r="A428" s="1"/>
  <c r="A440" s="1"/>
  <c r="A452" s="1"/>
  <c r="A464" s="1"/>
  <c r="B428"/>
  <c r="B440" s="1"/>
  <c r="B452" s="1"/>
  <c r="B464" s="1"/>
  <c r="A415"/>
  <c r="A427" s="1"/>
  <c r="A439" s="1"/>
  <c r="A451" s="1"/>
  <c r="A463" s="1"/>
  <c r="B427"/>
  <c r="B439" s="1"/>
  <c r="B451" s="1"/>
  <c r="B463" s="1"/>
  <c r="A419"/>
  <c r="A431" s="1"/>
  <c r="A443" s="1"/>
  <c r="A455" s="1"/>
  <c r="A467" s="1"/>
  <c r="B431"/>
  <c r="B443" s="1"/>
  <c r="B455" s="1"/>
  <c r="B467" s="1"/>
  <c r="A417"/>
  <c r="A429" s="1"/>
  <c r="A441" s="1"/>
  <c r="A453" s="1"/>
  <c r="A465" s="1"/>
  <c r="B429"/>
  <c r="B441" s="1"/>
  <c r="B453" s="1"/>
  <c r="B465" s="1"/>
  <c r="A421"/>
  <c r="A433" s="1"/>
  <c r="A445" s="1"/>
  <c r="A457" s="1"/>
  <c r="A469" s="1"/>
  <c r="B433"/>
  <c r="B445" s="1"/>
  <c r="B457" s="1"/>
  <c r="B469" s="1"/>
  <c r="U389"/>
  <c r="V401"/>
  <c r="U388"/>
  <c r="V400"/>
  <c r="U387"/>
  <c r="V399"/>
  <c r="U379"/>
  <c r="V391"/>
  <c r="U374"/>
  <c r="V386"/>
  <c r="U371"/>
  <c r="V383"/>
  <c r="U372"/>
  <c r="V384"/>
  <c r="A402"/>
  <c r="B414"/>
  <c r="C272" i="3"/>
  <c r="C447" s="1"/>
  <c r="E447"/>
  <c r="A423" i="1"/>
  <c r="A435" s="1"/>
  <c r="A447" s="1"/>
  <c r="A459" s="1"/>
  <c r="A471" s="1"/>
  <c r="B435"/>
  <c r="B447" s="1"/>
  <c r="B459" s="1"/>
  <c r="B471" s="1"/>
  <c r="U385"/>
  <c r="V397"/>
  <c r="U390"/>
  <c r="V402"/>
  <c r="U369"/>
  <c r="V381"/>
  <c r="U382"/>
  <c r="V394"/>
  <c r="A408"/>
  <c r="C23" i="5" s="1"/>
  <c r="B420" i="1"/>
  <c r="U368"/>
  <c r="V380"/>
  <c r="AF27" i="5"/>
  <c r="AG27" s="1"/>
  <c r="C28"/>
  <c r="AF28"/>
  <c r="H9"/>
  <c r="H248" i="3"/>
  <c r="H445" s="1"/>
  <c r="C360"/>
  <c r="D454"/>
  <c r="C38" i="5"/>
  <c r="C33"/>
  <c r="C259" i="3"/>
  <c r="C446" s="1"/>
  <c r="A446" s="1"/>
  <c r="E446"/>
  <c r="X445"/>
  <c r="W248"/>
  <c r="W264"/>
  <c r="X446"/>
  <c r="Z249"/>
  <c r="Z445" s="1"/>
  <c r="AA445"/>
  <c r="AB445"/>
  <c r="AE260"/>
  <c r="AE248"/>
  <c r="C248"/>
  <c r="C445" s="1"/>
  <c r="A445" s="1"/>
  <c r="D445"/>
  <c r="W7" i="5"/>
  <c r="H8"/>
  <c r="AE8"/>
  <c r="B29"/>
  <c r="W254" i="3"/>
  <c r="W253"/>
  <c r="W251"/>
  <c r="W28" i="5"/>
  <c r="W27"/>
  <c r="H447" i="3"/>
  <c r="N423" i="1"/>
  <c r="C16" i="5" l="1"/>
  <c r="W249" i="3"/>
  <c r="C19" i="5"/>
  <c r="C21"/>
  <c r="C7"/>
  <c r="C36"/>
  <c r="C31"/>
  <c r="A447" i="3"/>
  <c r="A448" s="1"/>
  <c r="A449" s="1"/>
  <c r="A450" s="1"/>
  <c r="A451" s="1"/>
  <c r="A452" s="1"/>
  <c r="A453" s="1"/>
  <c r="C13" i="5"/>
  <c r="C11"/>
  <c r="C9"/>
  <c r="C40"/>
  <c r="C30"/>
  <c r="C35"/>
  <c r="C14"/>
  <c r="C22"/>
  <c r="C10"/>
  <c r="C37"/>
  <c r="C20"/>
  <c r="C15"/>
  <c r="C17"/>
  <c r="W445" i="3"/>
  <c r="U445" s="1"/>
  <c r="W446"/>
  <c r="C32" i="5"/>
  <c r="C34"/>
  <c r="C39"/>
  <c r="C18"/>
  <c r="A397" i="3"/>
  <c r="B409"/>
  <c r="A414" i="1"/>
  <c r="C8" i="5"/>
  <c r="AG28"/>
  <c r="AG29"/>
  <c r="C24"/>
  <c r="C25"/>
  <c r="C26"/>
  <c r="C29"/>
  <c r="C27"/>
  <c r="B360" i="3"/>
  <c r="C454"/>
  <c r="U380" i="1"/>
  <c r="V392"/>
  <c r="A420"/>
  <c r="B432"/>
  <c r="B444" s="1"/>
  <c r="B456" s="1"/>
  <c r="B468" s="1"/>
  <c r="U394"/>
  <c r="V406"/>
  <c r="U381"/>
  <c r="V393"/>
  <c r="U402"/>
  <c r="V414"/>
  <c r="U397"/>
  <c r="V409"/>
  <c r="U384"/>
  <c r="V396"/>
  <c r="U383"/>
  <c r="V395"/>
  <c r="U386"/>
  <c r="V398"/>
  <c r="U391"/>
  <c r="V403"/>
  <c r="U399"/>
  <c r="V411"/>
  <c r="U400"/>
  <c r="V412"/>
  <c r="U401"/>
  <c r="V413"/>
  <c r="C12" i="5"/>
  <c r="O423" i="1"/>
  <c r="O413"/>
  <c r="Q413" s="1"/>
  <c r="O412"/>
  <c r="Q412" s="1"/>
  <c r="A360" i="3" l="1"/>
  <c r="B372"/>
  <c r="A409"/>
  <c r="A454"/>
  <c r="A455" s="1"/>
  <c r="U446"/>
  <c r="U447" s="1"/>
  <c r="U448" s="1"/>
  <c r="U449" s="1"/>
  <c r="U450" s="1"/>
  <c r="U451" s="1"/>
  <c r="U452" s="1"/>
  <c r="U453" s="1"/>
  <c r="U454" s="1"/>
  <c r="U455" s="1"/>
  <c r="S413" i="1"/>
  <c r="U414"/>
  <c r="U412"/>
  <c r="U413"/>
  <c r="U425" s="1"/>
  <c r="U437" s="1"/>
  <c r="U449" s="1"/>
  <c r="U461" s="1"/>
  <c r="U473" s="1"/>
  <c r="V425"/>
  <c r="V437" s="1"/>
  <c r="V449" s="1"/>
  <c r="V461" s="1"/>
  <c r="V473" s="1"/>
  <c r="U411"/>
  <c r="V423"/>
  <c r="U403"/>
  <c r="V415"/>
  <c r="U398"/>
  <c r="V410"/>
  <c r="U395"/>
  <c r="V407"/>
  <c r="U396"/>
  <c r="V408"/>
  <c r="U409"/>
  <c r="V421"/>
  <c r="U393"/>
  <c r="V405"/>
  <c r="U406"/>
  <c r="V418"/>
  <c r="U392"/>
  <c r="V404"/>
  <c r="A432"/>
  <c r="A444" s="1"/>
  <c r="A456" s="1"/>
  <c r="A468" s="1"/>
  <c r="S412"/>
  <c r="Q423"/>
  <c r="A372" i="3" l="1"/>
  <c r="B384"/>
  <c r="U418" i="1"/>
  <c r="U430" s="1"/>
  <c r="U442" s="1"/>
  <c r="U454" s="1"/>
  <c r="U466" s="1"/>
  <c r="V430"/>
  <c r="V442" s="1"/>
  <c r="V454" s="1"/>
  <c r="V466" s="1"/>
  <c r="U421"/>
  <c r="U433" s="1"/>
  <c r="U445" s="1"/>
  <c r="U457" s="1"/>
  <c r="U469" s="1"/>
  <c r="V433"/>
  <c r="V445" s="1"/>
  <c r="V457" s="1"/>
  <c r="V469" s="1"/>
  <c r="U423"/>
  <c r="U435" s="1"/>
  <c r="U447" s="1"/>
  <c r="U459" s="1"/>
  <c r="U471" s="1"/>
  <c r="V435"/>
  <c r="V447" s="1"/>
  <c r="V459" s="1"/>
  <c r="V471" s="1"/>
  <c r="U404"/>
  <c r="V416"/>
  <c r="U405"/>
  <c r="V417"/>
  <c r="U408"/>
  <c r="V420"/>
  <c r="V432" s="1"/>
  <c r="V444" s="1"/>
  <c r="V456" s="1"/>
  <c r="V468" s="1"/>
  <c r="U407"/>
  <c r="V419"/>
  <c r="V431" s="1"/>
  <c r="V443" s="1"/>
  <c r="V455" s="1"/>
  <c r="V467" s="1"/>
  <c r="U410"/>
  <c r="V422"/>
  <c r="V434" s="1"/>
  <c r="V446" s="1"/>
  <c r="V458" s="1"/>
  <c r="V470" s="1"/>
  <c r="U415"/>
  <c r="U427" s="1"/>
  <c r="U439" s="1"/>
  <c r="U451" s="1"/>
  <c r="U463" s="1"/>
  <c r="V427"/>
  <c r="V439" s="1"/>
  <c r="V451" s="1"/>
  <c r="V463" s="1"/>
  <c r="S423"/>
  <c r="A384" i="3" l="1"/>
  <c r="B396"/>
  <c r="A425" i="1"/>
  <c r="T41" i="5" s="1"/>
  <c r="A424" i="1"/>
  <c r="A426"/>
  <c r="U417"/>
  <c r="U429" s="1"/>
  <c r="U441" s="1"/>
  <c r="U453" s="1"/>
  <c r="U465" s="1"/>
  <c r="V429"/>
  <c r="V441" s="1"/>
  <c r="V453" s="1"/>
  <c r="V465" s="1"/>
  <c r="U416"/>
  <c r="U428" s="1"/>
  <c r="U440" s="1"/>
  <c r="U452" s="1"/>
  <c r="U464" s="1"/>
  <c r="V428"/>
  <c r="V440" s="1"/>
  <c r="V452" s="1"/>
  <c r="V464" s="1"/>
  <c r="U422"/>
  <c r="U434" s="1"/>
  <c r="U446" s="1"/>
  <c r="U458" s="1"/>
  <c r="U470" s="1"/>
  <c r="U419"/>
  <c r="U431" s="1"/>
  <c r="U443" s="1"/>
  <c r="U455" s="1"/>
  <c r="U467" s="1"/>
  <c r="U420"/>
  <c r="U432" s="1"/>
  <c r="U444" s="1"/>
  <c r="U456" s="1"/>
  <c r="U468" s="1"/>
  <c r="N493" i="2"/>
  <c r="N494" s="1"/>
  <c r="N495" s="1"/>
  <c r="N496" s="1"/>
  <c r="N497" s="1"/>
  <c r="N498" s="1"/>
  <c r="N499" s="1"/>
  <c r="N500" s="1"/>
  <c r="N501" s="1"/>
  <c r="N502" s="1"/>
  <c r="N503" s="1"/>
  <c r="N504" s="1"/>
  <c r="N505" s="1"/>
  <c r="N506" s="1"/>
  <c r="N507" s="1"/>
  <c r="N508" s="1"/>
  <c r="N509" s="1"/>
  <c r="N510" s="1"/>
  <c r="N511" s="1"/>
  <c r="N512" s="1"/>
  <c r="N513" s="1"/>
  <c r="N514" s="1"/>
  <c r="N515" s="1"/>
  <c r="N516" s="1"/>
  <c r="N517" s="1"/>
  <c r="N518" s="1"/>
  <c r="N519" s="1"/>
  <c r="N520" s="1"/>
  <c r="N521" s="1"/>
  <c r="N522" s="1"/>
  <c r="N523" s="1"/>
  <c r="N524" s="1"/>
  <c r="N525" s="1"/>
  <c r="N526" s="1"/>
  <c r="N527" s="1"/>
  <c r="N528" s="1"/>
  <c r="N529" s="1"/>
  <c r="A493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396" i="3" l="1"/>
  <c r="B408"/>
  <c r="A408" s="1"/>
  <c r="V426" i="1"/>
  <c r="V424"/>
  <c r="B425"/>
  <c r="B437" s="1"/>
  <c r="B449" s="1"/>
  <c r="B461" s="1"/>
  <c r="B473" s="1"/>
  <c r="A438"/>
  <c r="A450" s="1"/>
  <c r="A462" s="1"/>
  <c r="A436"/>
  <c r="A448" s="1"/>
  <c r="A460" s="1"/>
  <c r="A472" s="1"/>
  <c r="N41" i="5"/>
  <c r="K41"/>
  <c r="D41"/>
  <c r="C41"/>
  <c r="L41"/>
  <c r="E41"/>
  <c r="P41"/>
  <c r="M41"/>
  <c r="F41"/>
  <c r="J41"/>
  <c r="I41"/>
  <c r="R41"/>
  <c r="H41"/>
  <c r="G41"/>
  <c r="O41"/>
  <c r="Q41"/>
  <c r="S41" s="1"/>
  <c r="A437" i="1"/>
  <c r="U424" l="1"/>
  <c r="V436"/>
  <c r="V448" s="1"/>
  <c r="V460" s="1"/>
  <c r="V472" s="1"/>
  <c r="U426"/>
  <c r="V438"/>
  <c r="V450" s="1"/>
  <c r="V462" s="1"/>
  <c r="A449"/>
  <c r="Q42" i="5"/>
  <c r="C42"/>
  <c r="E42"/>
  <c r="L42"/>
  <c r="N42"/>
  <c r="O42"/>
  <c r="R42"/>
  <c r="P42"/>
  <c r="D42"/>
  <c r="I42"/>
  <c r="M42"/>
  <c r="T42"/>
  <c r="K42"/>
  <c r="F42"/>
  <c r="J42"/>
  <c r="B41"/>
  <c r="A461" i="1" l="1"/>
  <c r="T43" i="5"/>
  <c r="P43"/>
  <c r="F43"/>
  <c r="C43"/>
  <c r="N43"/>
  <c r="K43"/>
  <c r="Q43"/>
  <c r="J43"/>
  <c r="D43"/>
  <c r="L43"/>
  <c r="E43"/>
  <c r="R43"/>
  <c r="G43"/>
  <c r="I43"/>
  <c r="H43"/>
  <c r="O43"/>
  <c r="M43"/>
  <c r="B426" i="1"/>
  <c r="B438" s="1"/>
  <c r="B450" s="1"/>
  <c r="B462" s="1"/>
  <c r="U438"/>
  <c r="U450" s="1"/>
  <c r="U462" s="1"/>
  <c r="B424"/>
  <c r="B436" s="1"/>
  <c r="B448" s="1"/>
  <c r="B460" s="1"/>
  <c r="B472" s="1"/>
  <c r="U436"/>
  <c r="U448" s="1"/>
  <c r="U460" s="1"/>
  <c r="U472" s="1"/>
  <c r="B42" i="5"/>
  <c r="S42"/>
  <c r="O405" i="1"/>
  <c r="Q405" s="1"/>
  <c r="O404"/>
  <c r="Q404" s="1"/>
  <c r="O408"/>
  <c r="Q408" s="1"/>
  <c r="O410"/>
  <c r="Q410" s="1"/>
  <c r="O407"/>
  <c r="Q407" s="1"/>
  <c r="O403"/>
  <c r="Q403" s="1"/>
  <c r="O395"/>
  <c r="Q395" s="1"/>
  <c r="O409"/>
  <c r="Q409" s="1"/>
  <c r="O406"/>
  <c r="Q406" s="1"/>
  <c r="O411"/>
  <c r="Q411" s="1"/>
  <c r="O398"/>
  <c r="Q398" s="1"/>
  <c r="O396"/>
  <c r="Q396" s="1"/>
  <c r="O393"/>
  <c r="Q393" s="1"/>
  <c r="O392"/>
  <c r="Q392" s="1"/>
  <c r="O380"/>
  <c r="Q380" s="1"/>
  <c r="O381"/>
  <c r="Q381" s="1"/>
  <c r="O384"/>
  <c r="Q384" s="1"/>
  <c r="O386"/>
  <c r="Q386" s="1"/>
  <c r="O399"/>
  <c r="Q399" s="1"/>
  <c r="O401"/>
  <c r="Q401" s="1"/>
  <c r="O394"/>
  <c r="Q394" s="1"/>
  <c r="O397"/>
  <c r="Q397" s="1"/>
  <c r="O383"/>
  <c r="Q383" s="1"/>
  <c r="O391"/>
  <c r="Q391" s="1"/>
  <c r="O400"/>
  <c r="Q400" s="1"/>
  <c r="O388"/>
  <c r="Q388" s="1"/>
  <c r="O379"/>
  <c r="Q379" s="1"/>
  <c r="O371"/>
  <c r="Q371" s="1"/>
  <c r="O385"/>
  <c r="Q385" s="1"/>
  <c r="O382"/>
  <c r="Q382" s="1"/>
  <c r="O389"/>
  <c r="Q389" s="1"/>
  <c r="O387"/>
  <c r="Q387" s="1"/>
  <c r="O374"/>
  <c r="Q374" s="1"/>
  <c r="O372"/>
  <c r="Q372" s="1"/>
  <c r="O369"/>
  <c r="Q369" s="1"/>
  <c r="O368"/>
  <c r="Q368" s="1"/>
  <c r="O356"/>
  <c r="Q356" s="1"/>
  <c r="O357"/>
  <c r="Q357" s="1"/>
  <c r="O359"/>
  <c r="Q359" s="1"/>
  <c r="O367"/>
  <c r="Q367" s="1"/>
  <c r="O376"/>
  <c r="Q376" s="1"/>
  <c r="O250"/>
  <c r="Q250" s="1"/>
  <c r="S250" s="1"/>
  <c r="O291"/>
  <c r="Q291" s="1"/>
  <c r="S291" s="1"/>
  <c r="O292"/>
  <c r="Q292" s="1"/>
  <c r="S292" s="1"/>
  <c r="O293"/>
  <c r="Q293" s="1"/>
  <c r="S293" s="1"/>
  <c r="O294"/>
  <c r="Q294" s="1"/>
  <c r="O295"/>
  <c r="Q295" s="1"/>
  <c r="O296"/>
  <c r="Q296" s="1"/>
  <c r="O243"/>
  <c r="Q243" s="1"/>
  <c r="O244"/>
  <c r="Q244" s="1"/>
  <c r="S244" s="1"/>
  <c r="O245"/>
  <c r="Q245" s="1"/>
  <c r="S245" s="1"/>
  <c r="O246"/>
  <c r="Q246" s="1"/>
  <c r="O247"/>
  <c r="Q247" s="1"/>
  <c r="S247" s="1"/>
  <c r="O248"/>
  <c r="Q248" s="1"/>
  <c r="S248" s="1"/>
  <c r="O87"/>
  <c r="Q87" s="1"/>
  <c r="S87" s="1"/>
  <c r="O88"/>
  <c r="Q88" s="1"/>
  <c r="S88" s="1"/>
  <c r="O89"/>
  <c r="Q89" s="1"/>
  <c r="S89" s="1"/>
  <c r="O90"/>
  <c r="Q90" s="1"/>
  <c r="O91"/>
  <c r="Q91" s="1"/>
  <c r="S91" s="1"/>
  <c r="O92"/>
  <c r="Q92" s="1"/>
  <c r="S92" s="1"/>
  <c r="O207"/>
  <c r="Q207" s="1"/>
  <c r="S207" s="1"/>
  <c r="O208"/>
  <c r="Q208" s="1"/>
  <c r="S208" s="1"/>
  <c r="O209"/>
  <c r="Q209" s="1"/>
  <c r="S209" s="1"/>
  <c r="O210"/>
  <c r="Q210" s="1"/>
  <c r="O211"/>
  <c r="Q211" s="1"/>
  <c r="S211" s="1"/>
  <c r="O212"/>
  <c r="Q212" s="1"/>
  <c r="S212" s="1"/>
  <c r="O195"/>
  <c r="Q195" s="1"/>
  <c r="S195" s="1"/>
  <c r="O196"/>
  <c r="Q196" s="1"/>
  <c r="S196" s="1"/>
  <c r="O197"/>
  <c r="Q197" s="1"/>
  <c r="S197" s="1"/>
  <c r="O198"/>
  <c r="Q198" s="1"/>
  <c r="O199"/>
  <c r="Q199" s="1"/>
  <c r="S199" s="1"/>
  <c r="O200"/>
  <c r="Q200" s="1"/>
  <c r="S200" s="1"/>
  <c r="O183"/>
  <c r="Q183" s="1"/>
  <c r="S183" s="1"/>
  <c r="O184"/>
  <c r="Q184" s="1"/>
  <c r="S184" s="1"/>
  <c r="O185"/>
  <c r="Q185" s="1"/>
  <c r="S185" s="1"/>
  <c r="O186"/>
  <c r="Q186" s="1"/>
  <c r="O187"/>
  <c r="Q187" s="1"/>
  <c r="S187" s="1"/>
  <c r="O188"/>
  <c r="Q188" s="1"/>
  <c r="S188" s="1"/>
  <c r="O171"/>
  <c r="Q171" s="1"/>
  <c r="S171" s="1"/>
  <c r="O172"/>
  <c r="Q172" s="1"/>
  <c r="S172" s="1"/>
  <c r="O173"/>
  <c r="Q173" s="1"/>
  <c r="S173" s="1"/>
  <c r="O174"/>
  <c r="Q174" s="1"/>
  <c r="O175"/>
  <c r="Q175" s="1"/>
  <c r="S175" s="1"/>
  <c r="O176"/>
  <c r="Q176" s="1"/>
  <c r="S176" s="1"/>
  <c r="O159"/>
  <c r="Q159" s="1"/>
  <c r="S159" s="1"/>
  <c r="O160"/>
  <c r="Q160" s="1"/>
  <c r="S160" s="1"/>
  <c r="O161"/>
  <c r="Q161" s="1"/>
  <c r="S161" s="1"/>
  <c r="O162"/>
  <c r="Q162" s="1"/>
  <c r="O163"/>
  <c r="Q163" s="1"/>
  <c r="S163" s="1"/>
  <c r="O164"/>
  <c r="Q164" s="1"/>
  <c r="S164" s="1"/>
  <c r="O147"/>
  <c r="Q147" s="1"/>
  <c r="S147" s="1"/>
  <c r="O148"/>
  <c r="Q148" s="1"/>
  <c r="S148" s="1"/>
  <c r="O149"/>
  <c r="Q149" s="1"/>
  <c r="S149" s="1"/>
  <c r="O150"/>
  <c r="Q150" s="1"/>
  <c r="O151"/>
  <c r="Q151" s="1"/>
  <c r="S151" s="1"/>
  <c r="O152"/>
  <c r="Q152" s="1"/>
  <c r="S152" s="1"/>
  <c r="O135"/>
  <c r="Q135" s="1"/>
  <c r="S135" s="1"/>
  <c r="O136"/>
  <c r="Q136" s="1"/>
  <c r="S136" s="1"/>
  <c r="O137"/>
  <c r="Q137" s="1"/>
  <c r="S137" s="1"/>
  <c r="O138"/>
  <c r="Q138" s="1"/>
  <c r="O139"/>
  <c r="Q139" s="1"/>
  <c r="S139" s="1"/>
  <c r="O140"/>
  <c r="Q140" s="1"/>
  <c r="S140" s="1"/>
  <c r="O123"/>
  <c r="Q123" s="1"/>
  <c r="S123" s="1"/>
  <c r="O124"/>
  <c r="Q124" s="1"/>
  <c r="S124" s="1"/>
  <c r="O125"/>
  <c r="Q125" s="1"/>
  <c r="S125" s="1"/>
  <c r="O126"/>
  <c r="Q126" s="1"/>
  <c r="O127"/>
  <c r="Q127" s="1"/>
  <c r="S127" s="1"/>
  <c r="O128"/>
  <c r="Q128" s="1"/>
  <c r="S128" s="1"/>
  <c r="O111"/>
  <c r="Q111" s="1"/>
  <c r="S111" s="1"/>
  <c r="O112"/>
  <c r="Q112" s="1"/>
  <c r="S112" s="1"/>
  <c r="O113"/>
  <c r="Q113" s="1"/>
  <c r="S113" s="1"/>
  <c r="O114"/>
  <c r="Q114" s="1"/>
  <c r="O115"/>
  <c r="Q115" s="1"/>
  <c r="S115" s="1"/>
  <c r="O116"/>
  <c r="Q116" s="1"/>
  <c r="S116" s="1"/>
  <c r="O99"/>
  <c r="Q99" s="1"/>
  <c r="S99" s="1"/>
  <c r="O100"/>
  <c r="Q100" s="1"/>
  <c r="S100" s="1"/>
  <c r="O101"/>
  <c r="Q101" s="1"/>
  <c r="S101" s="1"/>
  <c r="O102"/>
  <c r="Q102" s="1"/>
  <c r="O103"/>
  <c r="Q103" s="1"/>
  <c r="S103" s="1"/>
  <c r="O104"/>
  <c r="Q104" s="1"/>
  <c r="S104" s="1"/>
  <c r="O252"/>
  <c r="Q252" s="1"/>
  <c r="S252" s="1"/>
  <c r="O315"/>
  <c r="Q315" s="1"/>
  <c r="O316"/>
  <c r="Q316" s="1"/>
  <c r="S316" s="1"/>
  <c r="O317"/>
  <c r="Q317" s="1"/>
  <c r="O318"/>
  <c r="Q318" s="1"/>
  <c r="O319"/>
  <c r="Q319" s="1"/>
  <c r="O320"/>
  <c r="Q320" s="1"/>
  <c r="S320" s="1"/>
  <c r="O303"/>
  <c r="Q303" s="1"/>
  <c r="O304"/>
  <c r="Q304" s="1"/>
  <c r="O305"/>
  <c r="Q305" s="1"/>
  <c r="S305" s="1"/>
  <c r="O306"/>
  <c r="Q306" s="1"/>
  <c r="S306" s="1"/>
  <c r="O307"/>
  <c r="Q307" s="1"/>
  <c r="O308"/>
  <c r="Q308" s="1"/>
  <c r="S308" s="1"/>
  <c r="O370"/>
  <c r="Q370" s="1"/>
  <c r="O373"/>
  <c r="Q373" s="1"/>
  <c r="O360"/>
  <c r="Q360" s="1"/>
  <c r="O362"/>
  <c r="Q362" s="1"/>
  <c r="O375"/>
  <c r="Q375" s="1"/>
  <c r="O377"/>
  <c r="Q377" s="1"/>
  <c r="O327"/>
  <c r="Q327" s="1"/>
  <c r="O328"/>
  <c r="Q328" s="1"/>
  <c r="O329"/>
  <c r="Q329" s="1"/>
  <c r="S329" s="1"/>
  <c r="O330"/>
  <c r="Q330" s="1"/>
  <c r="O331"/>
  <c r="Q331" s="1"/>
  <c r="O332"/>
  <c r="Q332" s="1"/>
  <c r="O267"/>
  <c r="Q267" s="1"/>
  <c r="S267" s="1"/>
  <c r="O268"/>
  <c r="Q268" s="1"/>
  <c r="S268" s="1"/>
  <c r="O269"/>
  <c r="Q269" s="1"/>
  <c r="S269" s="1"/>
  <c r="O270"/>
  <c r="Q270" s="1"/>
  <c r="S270" s="1"/>
  <c r="O271"/>
  <c r="Q271" s="1"/>
  <c r="S271" s="1"/>
  <c r="O272"/>
  <c r="Q272" s="1"/>
  <c r="S272" s="1"/>
  <c r="O219"/>
  <c r="Q219" s="1"/>
  <c r="O220"/>
  <c r="Q220" s="1"/>
  <c r="S220" s="1"/>
  <c r="O221"/>
  <c r="Q221" s="1"/>
  <c r="S221" s="1"/>
  <c r="O222"/>
  <c r="Q222" s="1"/>
  <c r="S222" s="1"/>
  <c r="O223"/>
  <c r="Q223" s="1"/>
  <c r="S223" s="1"/>
  <c r="O224"/>
  <c r="Q224" s="1"/>
  <c r="S224" s="1"/>
  <c r="O231"/>
  <c r="Q231" s="1"/>
  <c r="S231" s="1"/>
  <c r="O232"/>
  <c r="Q232" s="1"/>
  <c r="S232" s="1"/>
  <c r="O233"/>
  <c r="Q233" s="1"/>
  <c r="S233" s="1"/>
  <c r="O234"/>
  <c r="Q234" s="1"/>
  <c r="S234" s="1"/>
  <c r="O235"/>
  <c r="Q235" s="1"/>
  <c r="S235" s="1"/>
  <c r="O236"/>
  <c r="Q236" s="1"/>
  <c r="S236" s="1"/>
  <c r="O264"/>
  <c r="Q264" s="1"/>
  <c r="S264" s="1"/>
  <c r="O279"/>
  <c r="Q279" s="1"/>
  <c r="S279" s="1"/>
  <c r="O281"/>
  <c r="Q281" s="1"/>
  <c r="S281" s="1"/>
  <c r="O282"/>
  <c r="Q282" s="1"/>
  <c r="O283"/>
  <c r="Q283" s="1"/>
  <c r="S283" s="1"/>
  <c r="O284"/>
  <c r="Q284" s="1"/>
  <c r="S284" s="1"/>
  <c r="O255"/>
  <c r="Q255" s="1"/>
  <c r="S255" s="1"/>
  <c r="O256"/>
  <c r="Q256" s="1"/>
  <c r="S256" s="1"/>
  <c r="O257"/>
  <c r="Q257" s="1"/>
  <c r="S257" s="1"/>
  <c r="O258"/>
  <c r="Q258" s="1"/>
  <c r="O259"/>
  <c r="Q259" s="1"/>
  <c r="S259" s="1"/>
  <c r="O260"/>
  <c r="Q260" s="1"/>
  <c r="S260" s="1"/>
  <c r="O266"/>
  <c r="Q266" s="1"/>
  <c r="S266" s="1"/>
  <c r="O262"/>
  <c r="Q262" s="1"/>
  <c r="S262" s="1"/>
  <c r="O217"/>
  <c r="Q217" s="1"/>
  <c r="S217" s="1"/>
  <c r="O214"/>
  <c r="Q214" s="1"/>
  <c r="S214" s="1"/>
  <c r="O365"/>
  <c r="Q365" s="1"/>
  <c r="O363"/>
  <c r="Q363" s="1"/>
  <c r="O278"/>
  <c r="Q278" s="1"/>
  <c r="S278" s="1"/>
  <c r="O274"/>
  <c r="Q274" s="1"/>
  <c r="O265"/>
  <c r="Q265" s="1"/>
  <c r="S265" s="1"/>
  <c r="O253"/>
  <c r="Q253" s="1"/>
  <c r="S253" s="1"/>
  <c r="O251"/>
  <c r="Q251" s="1"/>
  <c r="S251" s="1"/>
  <c r="O240"/>
  <c r="Q240" s="1"/>
  <c r="S240" s="1"/>
  <c r="O239"/>
  <c r="Q239" s="1"/>
  <c r="S239" s="1"/>
  <c r="O230"/>
  <c r="Q230" s="1"/>
  <c r="S230" s="1"/>
  <c r="O228"/>
  <c r="Q228" s="1"/>
  <c r="S228" s="1"/>
  <c r="O227"/>
  <c r="Q227" s="1"/>
  <c r="S227" s="1"/>
  <c r="O181"/>
  <c r="Q181" s="1"/>
  <c r="S181" s="1"/>
  <c r="O166"/>
  <c r="Q166" s="1"/>
  <c r="S166" s="1"/>
  <c r="O157"/>
  <c r="Q157" s="1"/>
  <c r="S157" s="1"/>
  <c r="O131"/>
  <c r="Q131" s="1"/>
  <c r="S131" s="1"/>
  <c r="O110"/>
  <c r="Q110" s="1"/>
  <c r="S110" s="1"/>
  <c r="O108"/>
  <c r="Q108" s="1"/>
  <c r="S108" s="1"/>
  <c r="O106"/>
  <c r="Q106" s="1"/>
  <c r="S106" s="1"/>
  <c r="O97"/>
  <c r="Q97" s="1"/>
  <c r="S97" s="1"/>
  <c r="O95"/>
  <c r="Q95" s="1"/>
  <c r="S95" s="1"/>
  <c r="O84"/>
  <c r="Q84" s="1"/>
  <c r="S84" s="1"/>
  <c r="O218"/>
  <c r="Q218" s="1"/>
  <c r="S218" s="1"/>
  <c r="O206"/>
  <c r="Q206" s="1"/>
  <c r="S206" s="1"/>
  <c r="O204"/>
  <c r="Q204" s="1"/>
  <c r="S204" s="1"/>
  <c r="O194"/>
  <c r="Q194" s="1"/>
  <c r="S194" s="1"/>
  <c r="O192"/>
  <c r="Q192" s="1"/>
  <c r="S192" s="1"/>
  <c r="O191"/>
  <c r="Q191" s="1"/>
  <c r="S191" s="1"/>
  <c r="O170"/>
  <c r="Q170" s="1"/>
  <c r="S170" s="1"/>
  <c r="O168"/>
  <c r="Q168" s="1"/>
  <c r="S168" s="1"/>
  <c r="O167"/>
  <c r="Q167" s="1"/>
  <c r="S167" s="1"/>
  <c r="O146"/>
  <c r="Q146" s="1"/>
  <c r="S146" s="1"/>
  <c r="O144"/>
  <c r="Q144" s="1"/>
  <c r="S144" s="1"/>
  <c r="O142"/>
  <c r="Q142" s="1"/>
  <c r="S142" s="1"/>
  <c r="O134"/>
  <c r="Q134" s="1"/>
  <c r="S134" s="1"/>
  <c r="O132"/>
  <c r="Q132" s="1"/>
  <c r="S132" s="1"/>
  <c r="O130"/>
  <c r="Q130" s="1"/>
  <c r="S130" s="1"/>
  <c r="O122"/>
  <c r="Q122" s="1"/>
  <c r="S122" s="1"/>
  <c r="O120"/>
  <c r="Q120" s="1"/>
  <c r="S120" s="1"/>
  <c r="O118"/>
  <c r="Q118" s="1"/>
  <c r="S118" s="1"/>
  <c r="O80"/>
  <c r="Q80" s="1"/>
  <c r="S80" s="1"/>
  <c r="O333"/>
  <c r="Q333" s="1"/>
  <c r="O334"/>
  <c r="Q334" s="1"/>
  <c r="O335"/>
  <c r="Q335" s="1"/>
  <c r="O336"/>
  <c r="Q336" s="1"/>
  <c r="O337"/>
  <c r="Q337" s="1"/>
  <c r="O338"/>
  <c r="Q338" s="1"/>
  <c r="S338" s="1"/>
  <c r="O273"/>
  <c r="Q273" s="1"/>
  <c r="S273" s="1"/>
  <c r="O275"/>
  <c r="Q275" s="1"/>
  <c r="S275" s="1"/>
  <c r="O276"/>
  <c r="Q276" s="1"/>
  <c r="S276" s="1"/>
  <c r="O277"/>
  <c r="Q277" s="1"/>
  <c r="S277" s="1"/>
  <c r="O249"/>
  <c r="Q249" s="1"/>
  <c r="S249" s="1"/>
  <c r="O254"/>
  <c r="Q254" s="1"/>
  <c r="S254" s="1"/>
  <c r="O225"/>
  <c r="Q225" s="1"/>
  <c r="S225" s="1"/>
  <c r="O226"/>
  <c r="Q226" s="1"/>
  <c r="S226" s="1"/>
  <c r="O229"/>
  <c r="Q229" s="1"/>
  <c r="S229" s="1"/>
  <c r="O201"/>
  <c r="Q201" s="1"/>
  <c r="S201" s="1"/>
  <c r="O202"/>
  <c r="Q202" s="1"/>
  <c r="S202" s="1"/>
  <c r="O203"/>
  <c r="Q203" s="1"/>
  <c r="S203" s="1"/>
  <c r="O205"/>
  <c r="Q205" s="1"/>
  <c r="S205" s="1"/>
  <c r="O177"/>
  <c r="Q177" s="1"/>
  <c r="S177" s="1"/>
  <c r="O178"/>
  <c r="Q178" s="1"/>
  <c r="S178" s="1"/>
  <c r="O179"/>
  <c r="Q179" s="1"/>
  <c r="S179" s="1"/>
  <c r="O180"/>
  <c r="Q180" s="1"/>
  <c r="S180" s="1"/>
  <c r="O182"/>
  <c r="Q182" s="1"/>
  <c r="S182" s="1"/>
  <c r="O153"/>
  <c r="Q153" s="1"/>
  <c r="S153" s="1"/>
  <c r="O154"/>
  <c r="Q154" s="1"/>
  <c r="S154" s="1"/>
  <c r="O155"/>
  <c r="Q155" s="1"/>
  <c r="S155" s="1"/>
  <c r="O156"/>
  <c r="Q156" s="1"/>
  <c r="S156" s="1"/>
  <c r="O158"/>
  <c r="Q158" s="1"/>
  <c r="S158" s="1"/>
  <c r="O129"/>
  <c r="Q129" s="1"/>
  <c r="S129" s="1"/>
  <c r="O133"/>
  <c r="Q133" s="1"/>
  <c r="S133" s="1"/>
  <c r="O105"/>
  <c r="Q105" s="1"/>
  <c r="S105" s="1"/>
  <c r="O107"/>
  <c r="Q107" s="1"/>
  <c r="S107" s="1"/>
  <c r="O109"/>
  <c r="Q109" s="1"/>
  <c r="S109" s="1"/>
  <c r="O297"/>
  <c r="Q297" s="1"/>
  <c r="O298"/>
  <c r="Q298" s="1"/>
  <c r="O299"/>
  <c r="Q299" s="1"/>
  <c r="O300"/>
  <c r="Q300" s="1"/>
  <c r="S300" s="1"/>
  <c r="O301"/>
  <c r="Q301" s="1"/>
  <c r="O302"/>
  <c r="Q302" s="1"/>
  <c r="O237"/>
  <c r="Q237" s="1"/>
  <c r="S237" s="1"/>
  <c r="O238"/>
  <c r="Q238" s="1"/>
  <c r="S238" s="1"/>
  <c r="O241"/>
  <c r="Q241" s="1"/>
  <c r="S241" s="1"/>
  <c r="O242"/>
  <c r="Q242" s="1"/>
  <c r="S242" s="1"/>
  <c r="O213"/>
  <c r="Q213" s="1"/>
  <c r="S213" s="1"/>
  <c r="O215"/>
  <c r="Q215" s="1"/>
  <c r="S215" s="1"/>
  <c r="O216"/>
  <c r="Q216" s="1"/>
  <c r="S216" s="1"/>
  <c r="O189"/>
  <c r="Q189" s="1"/>
  <c r="S189" s="1"/>
  <c r="O190"/>
  <c r="Q190" s="1"/>
  <c r="S190" s="1"/>
  <c r="O193"/>
  <c r="Q193" s="1"/>
  <c r="S193" s="1"/>
  <c r="O165"/>
  <c r="Q165" s="1"/>
  <c r="S165" s="1"/>
  <c r="O169"/>
  <c r="Q169" s="1"/>
  <c r="S169" s="1"/>
  <c r="O141"/>
  <c r="Q141" s="1"/>
  <c r="S141" s="1"/>
  <c r="O143"/>
  <c r="Q143" s="1"/>
  <c r="S143" s="1"/>
  <c r="O145"/>
  <c r="Q145" s="1"/>
  <c r="S145" s="1"/>
  <c r="O117"/>
  <c r="Q117" s="1"/>
  <c r="S117" s="1"/>
  <c r="O119"/>
  <c r="Q119" s="1"/>
  <c r="S119" s="1"/>
  <c r="O121"/>
  <c r="Q121" s="1"/>
  <c r="S121" s="1"/>
  <c r="O93"/>
  <c r="Q93" s="1"/>
  <c r="S93" s="1"/>
  <c r="O94"/>
  <c r="Q94" s="1"/>
  <c r="S94" s="1"/>
  <c r="O96"/>
  <c r="Q96" s="1"/>
  <c r="S96" s="1"/>
  <c r="O98"/>
  <c r="Q98" s="1"/>
  <c r="S98" s="1"/>
  <c r="O361"/>
  <c r="Q361" s="1"/>
  <c r="O364"/>
  <c r="Q364" s="1"/>
  <c r="O263"/>
  <c r="Q263" s="1"/>
  <c r="S263" s="1"/>
  <c r="O86"/>
  <c r="Q86" s="1"/>
  <c r="S86" s="1"/>
  <c r="O82"/>
  <c r="Q82" s="1"/>
  <c r="S82" s="1"/>
  <c r="O79"/>
  <c r="Q79" s="1"/>
  <c r="S79" s="1"/>
  <c r="O309"/>
  <c r="Q309" s="1"/>
  <c r="O310"/>
  <c r="Q310" s="1"/>
  <c r="O311"/>
  <c r="Q311" s="1"/>
  <c r="O312"/>
  <c r="Q312" s="1"/>
  <c r="O313"/>
  <c r="Q313" s="1"/>
  <c r="O314"/>
  <c r="Q314" s="1"/>
  <c r="O85"/>
  <c r="Q85" s="1"/>
  <c r="S85" s="1"/>
  <c r="O83"/>
  <c r="Q83" s="1"/>
  <c r="S83" s="1"/>
  <c r="O321"/>
  <c r="Q321" s="1"/>
  <c r="O322"/>
  <c r="Q322" s="1"/>
  <c r="O323"/>
  <c r="Q323" s="1"/>
  <c r="O324"/>
  <c r="Q324" s="1"/>
  <c r="O325"/>
  <c r="Q325" s="1"/>
  <c r="O326"/>
  <c r="Q326" s="1"/>
  <c r="O285"/>
  <c r="Q285" s="1"/>
  <c r="S285" s="1"/>
  <c r="O286"/>
  <c r="Q286" s="1"/>
  <c r="S286" s="1"/>
  <c r="O287"/>
  <c r="Q287" s="1"/>
  <c r="S287" s="1"/>
  <c r="O288"/>
  <c r="Q288" s="1"/>
  <c r="S288" s="1"/>
  <c r="O289"/>
  <c r="Q289" s="1"/>
  <c r="S289" s="1"/>
  <c r="O290"/>
  <c r="Q290" s="1"/>
  <c r="S290" s="1"/>
  <c r="O261"/>
  <c r="Q261" s="1"/>
  <c r="S261" s="1"/>
  <c r="O81"/>
  <c r="Q81" s="1"/>
  <c r="S81" s="1"/>
  <c r="O343"/>
  <c r="Q343" s="1"/>
  <c r="O349"/>
  <c r="Q349" s="1"/>
  <c r="O345"/>
  <c r="Q345" s="1"/>
  <c r="O348"/>
  <c r="Q348" s="1"/>
  <c r="O351"/>
  <c r="Q351" s="1"/>
  <c r="O355"/>
  <c r="Q355" s="1"/>
  <c r="O358"/>
  <c r="Q358" s="1"/>
  <c r="S219"/>
  <c r="O346"/>
  <c r="Q346" s="1"/>
  <c r="O352"/>
  <c r="Q352" s="1"/>
  <c r="S304"/>
  <c r="O344"/>
  <c r="Q344" s="1"/>
  <c r="O347"/>
  <c r="Q347" s="1"/>
  <c r="O350"/>
  <c r="Q350" s="1"/>
  <c r="O353"/>
  <c r="Q353" s="1"/>
  <c r="O340"/>
  <c r="Q340" s="1"/>
  <c r="O341"/>
  <c r="Q341" s="1"/>
  <c r="O339"/>
  <c r="Q339" s="1"/>
  <c r="S331"/>
  <c r="S327"/>
  <c r="O378"/>
  <c r="Q378" s="1"/>
  <c r="O366"/>
  <c r="Q366" s="1"/>
  <c r="O354"/>
  <c r="Q354" s="1"/>
  <c r="O342"/>
  <c r="Q342" s="1"/>
  <c r="O78"/>
  <c r="Q78" s="1"/>
  <c r="S318"/>
  <c r="O390"/>
  <c r="Q390" s="1"/>
  <c r="O402"/>
  <c r="Q402" s="1"/>
  <c r="A473" l="1"/>
  <c r="O44" i="5"/>
  <c r="N44"/>
  <c r="C44"/>
  <c r="M44"/>
  <c r="T44"/>
  <c r="F44"/>
  <c r="P44"/>
  <c r="G44"/>
  <c r="H44"/>
  <c r="L44"/>
  <c r="I44"/>
  <c r="D44"/>
  <c r="E44"/>
  <c r="J44"/>
  <c r="K44"/>
  <c r="O38"/>
  <c r="O35"/>
  <c r="S314" i="1"/>
  <c r="S310"/>
  <c r="S361"/>
  <c r="S313"/>
  <c r="S311"/>
  <c r="S309"/>
  <c r="S377"/>
  <c r="S312"/>
  <c r="S384"/>
  <c r="S344"/>
  <c r="S348"/>
  <c r="S323"/>
  <c r="S341"/>
  <c r="S353"/>
  <c r="S347"/>
  <c r="S346"/>
  <c r="S358"/>
  <c r="S351"/>
  <c r="S345"/>
  <c r="S343"/>
  <c r="S326"/>
  <c r="S324"/>
  <c r="S322"/>
  <c r="S364"/>
  <c r="S301"/>
  <c r="S299"/>
  <c r="S297"/>
  <c r="S337"/>
  <c r="S335"/>
  <c r="S333"/>
  <c r="S363"/>
  <c r="S332"/>
  <c r="S330"/>
  <c r="S328"/>
  <c r="S375"/>
  <c r="S360"/>
  <c r="S370"/>
  <c r="S307"/>
  <c r="S303"/>
  <c r="S319"/>
  <c r="S317"/>
  <c r="S315"/>
  <c r="S296"/>
  <c r="S367"/>
  <c r="S357"/>
  <c r="S368"/>
  <c r="S372"/>
  <c r="S389"/>
  <c r="S385"/>
  <c r="S379"/>
  <c r="S400"/>
  <c r="S383"/>
  <c r="S394"/>
  <c r="S399"/>
  <c r="S381"/>
  <c r="S392"/>
  <c r="S396"/>
  <c r="S411"/>
  <c r="S409"/>
  <c r="S403"/>
  <c r="S410"/>
  <c r="S404"/>
  <c r="O39" i="5"/>
  <c r="O18"/>
  <c r="S334" i="1"/>
  <c r="S336"/>
  <c r="S298"/>
  <c r="S302"/>
  <c r="S354"/>
  <c r="S339"/>
  <c r="S340"/>
  <c r="S350"/>
  <c r="S352"/>
  <c r="S355"/>
  <c r="S349"/>
  <c r="S325"/>
  <c r="S321"/>
  <c r="S365"/>
  <c r="S362"/>
  <c r="S373"/>
  <c r="S295"/>
  <c r="S376"/>
  <c r="S359"/>
  <c r="S356"/>
  <c r="S369"/>
  <c r="S374"/>
  <c r="S387"/>
  <c r="S382"/>
  <c r="S371"/>
  <c r="S388"/>
  <c r="S391"/>
  <c r="S397"/>
  <c r="S401"/>
  <c r="S386"/>
  <c r="S380"/>
  <c r="S393"/>
  <c r="S398"/>
  <c r="S406"/>
  <c r="S395"/>
  <c r="S407"/>
  <c r="S408"/>
  <c r="S405"/>
  <c r="O28" i="5"/>
  <c r="O22"/>
  <c r="O14"/>
  <c r="O26"/>
  <c r="O24"/>
  <c r="O34"/>
  <c r="O33"/>
  <c r="O31"/>
  <c r="O20"/>
  <c r="O16"/>
  <c r="O13"/>
  <c r="Q13"/>
  <c r="S13" s="1"/>
  <c r="S78" i="1"/>
  <c r="Q38" i="5"/>
  <c r="S38" s="1"/>
  <c r="S378" i="1"/>
  <c r="S102"/>
  <c r="Q15" i="5"/>
  <c r="S15" s="1"/>
  <c r="S114" i="1"/>
  <c r="Q16" i="5"/>
  <c r="S16" s="1"/>
  <c r="Q17"/>
  <c r="S17" s="1"/>
  <c r="S126" i="1"/>
  <c r="S138"/>
  <c r="Q18" i="5"/>
  <c r="S18" s="1"/>
  <c r="Q19"/>
  <c r="S19" s="1"/>
  <c r="S150" i="1"/>
  <c r="S162"/>
  <c r="Q20" i="5"/>
  <c r="S20" s="1"/>
  <c r="S174" i="1"/>
  <c r="Q21" i="5"/>
  <c r="S21" s="1"/>
  <c r="Q22"/>
  <c r="S22" s="1"/>
  <c r="S186" i="1"/>
  <c r="Q23" i="5"/>
  <c r="S23" s="1"/>
  <c r="S198" i="1"/>
  <c r="Q24" i="5"/>
  <c r="S24" s="1"/>
  <c r="S210" i="1"/>
  <c r="S90"/>
  <c r="Q14" i="5"/>
  <c r="S14" s="1"/>
  <c r="Q27"/>
  <c r="S27" s="1"/>
  <c r="S246" i="1"/>
  <c r="S294"/>
  <c r="Q31" i="5"/>
  <c r="S31" s="1"/>
  <c r="S274" i="1"/>
  <c r="Q29" i="5"/>
  <c r="S29" s="1"/>
  <c r="Q28"/>
  <c r="S28" s="1"/>
  <c r="S258" i="1"/>
  <c r="S282"/>
  <c r="Q30" i="5"/>
  <c r="S30" s="1"/>
  <c r="S243" i="1"/>
  <c r="Q26" i="5"/>
  <c r="S26" s="1"/>
  <c r="Q25"/>
  <c r="S25" s="1"/>
  <c r="Q39"/>
  <c r="S39" s="1"/>
  <c r="Q36"/>
  <c r="S36" s="1"/>
  <c r="O40"/>
  <c r="O30"/>
  <c r="O29"/>
  <c r="O27"/>
  <c r="O25"/>
  <c r="O37"/>
  <c r="O36"/>
  <c r="Q32"/>
  <c r="S32" s="1"/>
  <c r="O32"/>
  <c r="O23"/>
  <c r="O21"/>
  <c r="O19"/>
  <c r="O17"/>
  <c r="O15"/>
  <c r="Q33"/>
  <c r="S33" s="1"/>
  <c r="Q35"/>
  <c r="S35" s="1"/>
  <c r="S342" i="1"/>
  <c r="S402"/>
  <c r="Q40" i="5"/>
  <c r="S40" s="1"/>
  <c r="Q37"/>
  <c r="S37" s="1"/>
  <c r="S366" i="1"/>
  <c r="S390"/>
  <c r="Q34" i="5"/>
  <c r="S34" s="1"/>
  <c r="B43"/>
  <c r="S43"/>
  <c r="G42"/>
  <c r="H435" i="1"/>
  <c r="N45" i="5" l="1"/>
  <c r="I45"/>
  <c r="G45"/>
  <c r="K45"/>
  <c r="O45"/>
  <c r="L45"/>
  <c r="T45"/>
  <c r="R45"/>
  <c r="C45"/>
  <c r="F45"/>
  <c r="P45"/>
  <c r="D45"/>
  <c r="M45"/>
  <c r="Q45"/>
  <c r="S45" s="1"/>
  <c r="J45"/>
  <c r="E45"/>
  <c r="B44"/>
  <c r="H42"/>
  <c r="B45" l="1"/>
  <c r="AI42"/>
  <c r="Q457" i="1" l="1"/>
  <c r="Q456"/>
  <c r="Q458"/>
  <c r="Q455" l="1"/>
  <c r="Q459"/>
  <c r="S458"/>
  <c r="S456"/>
  <c r="S457"/>
  <c r="Q454" l="1"/>
  <c r="S459"/>
  <c r="S455"/>
  <c r="Q453" l="1"/>
  <c r="S454"/>
  <c r="Q451" l="1"/>
  <c r="S453"/>
  <c r="Q452"/>
  <c r="R44" i="5" l="1"/>
  <c r="S452" i="1"/>
  <c r="S451"/>
  <c r="Q450"/>
  <c r="Q44" i="5" l="1"/>
  <c r="S44" s="1"/>
  <c r="S450" i="1"/>
  <c r="H45" i="5" l="1"/>
</calcChain>
</file>

<file path=xl/comments1.xml><?xml version="1.0" encoding="utf-8"?>
<comments xmlns="http://schemas.openxmlformats.org/spreadsheetml/2006/main">
  <authors>
    <author>ot05219</author>
  </authors>
  <commentList>
    <comment ref="F360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Billing error to mining customer. This data shows correction, not recorded info.</t>
        </r>
      </text>
    </comment>
    <comment ref="L398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Corrected for SEPA kwh problem.  This value was 311,995.</t>
        </r>
      </text>
    </comment>
  </commentList>
</comments>
</file>

<file path=xl/comments2.xml><?xml version="1.0" encoding="utf-8"?>
<comments xmlns="http://schemas.openxmlformats.org/spreadsheetml/2006/main">
  <authors>
    <author>ot05219</author>
  </authors>
  <commentList>
    <comment ref="N509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Average annual Customer data was revised to these formulas on 3/26/08 to correct for partial year.</t>
        </r>
      </text>
    </comment>
  </commentList>
</comments>
</file>

<file path=xl/comments3.xml><?xml version="1.0" encoding="utf-8"?>
<comments xmlns="http://schemas.openxmlformats.org/spreadsheetml/2006/main">
  <authors>
    <author>ot05219</author>
  </authors>
  <commentList>
    <comment ref="A371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City of Winter Park leaves PEF system.</t>
        </r>
      </text>
    </comment>
  </commentList>
</comments>
</file>

<file path=xl/comments4.xml><?xml version="1.0" encoding="utf-8"?>
<comments xmlns="http://schemas.openxmlformats.org/spreadsheetml/2006/main">
  <authors>
    <author>ot05219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Notice different formula for this col versus other cols.  No reason for this.</t>
        </r>
      </text>
    </comment>
  </commentList>
</comments>
</file>

<file path=xl/sharedStrings.xml><?xml version="1.0" encoding="utf-8"?>
<sst xmlns="http://schemas.openxmlformats.org/spreadsheetml/2006/main" count="167" uniqueCount="43">
  <si>
    <t>FPC MONTHLY MWH SALES BY CUSTOMER CLASS</t>
  </si>
  <si>
    <t>FPC MONTHLY CUSTOMERS</t>
  </si>
  <si>
    <t>(includes SEBRING as of April 1993)</t>
  </si>
  <si>
    <t>TOTAL</t>
  </si>
  <si>
    <t>STREET</t>
  </si>
  <si>
    <t>PUBLIC</t>
  </si>
  <si>
    <t>CHG IN</t>
  </si>
  <si>
    <t xml:space="preserve">AVAIL. </t>
  </si>
  <si>
    <t>COMPANY</t>
  </si>
  <si>
    <t>SYSTEM</t>
  </si>
  <si>
    <t>%</t>
  </si>
  <si>
    <t>YEAR</t>
  </si>
  <si>
    <t>M</t>
  </si>
  <si>
    <t>RESID</t>
  </si>
  <si>
    <t>COML</t>
  </si>
  <si>
    <t>IND</t>
  </si>
  <si>
    <t>PHOS</t>
  </si>
  <si>
    <t>NONPHOS</t>
  </si>
  <si>
    <t>&amp; HWAY</t>
  </si>
  <si>
    <t>AUTH'Y</t>
  </si>
  <si>
    <t>REA</t>
  </si>
  <si>
    <t>MUNI</t>
  </si>
  <si>
    <t>UNBILLED</t>
  </si>
  <si>
    <t>FOR SALE</t>
  </si>
  <si>
    <t xml:space="preserve">USE  </t>
  </si>
  <si>
    <t>LOSSES</t>
  </si>
  <si>
    <t>REQMTS</t>
  </si>
  <si>
    <t>Retail Unbilled</t>
  </si>
  <si>
    <t>(MOR pg-2d)</t>
  </si>
  <si>
    <t>SEBRING SALES    BEGINS IN APRIL 1993</t>
  </si>
  <si>
    <t>SEBRING CUSTOMERS    BEGINS IN APRIL 1993</t>
  </si>
  <si>
    <t>(EXCLUDES SEBRING acquisition after April 1993)</t>
  </si>
  <si>
    <t>Annual</t>
  </si>
  <si>
    <t>Growth</t>
  </si>
  <si>
    <t>RETAIL</t>
  </si>
  <si>
    <t>w/o losses</t>
  </si>
  <si>
    <t>w/losses</t>
  </si>
  <si>
    <t>Wholesale</t>
  </si>
  <si>
    <t>EDB Adjusted</t>
  </si>
  <si>
    <t>Total</t>
  </si>
  <si>
    <t>Retail</t>
  </si>
  <si>
    <t>Ret Chg</t>
  </si>
  <si>
    <t>(Includes SEBRING acquisition as of April 1993; Loss of Winter Park June 2005)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</si>
</sst>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13">
    <font>
      <sz val="12"/>
      <name val="Helv"/>
    </font>
    <font>
      <sz val="10"/>
      <name val="Arial"/>
      <family val="2"/>
    </font>
    <font>
      <sz val="8"/>
      <color indexed="81"/>
      <name val="Tahoma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u val="singleAccounting"/>
      <sz val="10"/>
      <color indexed="12"/>
      <name val="Arial"/>
      <family val="2"/>
    </font>
    <font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164" fontId="0" fillId="0" borderId="0" xfId="0"/>
    <xf numFmtId="164" fontId="3" fillId="0" borderId="0" xfId="0" applyNumberFormat="1" applyFont="1" applyAlignment="1" applyProtection="1">
      <alignment horizontal="left"/>
      <protection locked="0"/>
    </xf>
    <xf numFmtId="164" fontId="4" fillId="0" borderId="0" xfId="0" applyFont="1"/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4" fillId="0" borderId="0" xfId="0" applyFont="1" applyAlignment="1">
      <alignment horizontal="left"/>
    </xf>
    <xf numFmtId="164" fontId="5" fillId="0" borderId="0" xfId="0" applyFont="1"/>
    <xf numFmtId="164" fontId="4" fillId="0" borderId="0" xfId="0" applyNumberFormat="1" applyFont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164" fontId="3" fillId="0" borderId="0" xfId="0" applyFont="1"/>
    <xf numFmtId="164" fontId="4" fillId="0" borderId="0" xfId="0" applyFont="1" applyAlignment="1">
      <alignment horizontal="right"/>
    </xf>
    <xf numFmtId="164" fontId="6" fillId="0" borderId="0" xfId="0" applyNumberFormat="1" applyFont="1" applyAlignment="1" applyProtection="1">
      <alignment horizontal="right"/>
    </xf>
    <xf numFmtId="164" fontId="7" fillId="0" borderId="0" xfId="0" applyNumberFormat="1" applyFont="1" applyAlignment="1" applyProtection="1">
      <alignment horizontal="right"/>
    </xf>
    <xf numFmtId="164" fontId="7" fillId="0" borderId="0" xfId="0" applyFont="1" applyAlignment="1">
      <alignment horizontal="right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/>
    </xf>
    <xf numFmtId="3" fontId="4" fillId="0" borderId="0" xfId="0" applyNumberFormat="1" applyFont="1" applyProtection="1"/>
    <xf numFmtId="3" fontId="3" fillId="0" borderId="0" xfId="0" applyNumberFormat="1" applyFont="1" applyProtection="1"/>
    <xf numFmtId="3" fontId="3" fillId="0" borderId="0" xfId="0" applyNumberFormat="1" applyFont="1"/>
    <xf numFmtId="3" fontId="4" fillId="0" borderId="0" xfId="0" applyNumberFormat="1" applyFont="1"/>
    <xf numFmtId="165" fontId="4" fillId="0" borderId="0" xfId="1" applyNumberFormat="1" applyFont="1"/>
    <xf numFmtId="164" fontId="4" fillId="0" borderId="0" xfId="0" quotePrefix="1" applyFont="1" applyAlignment="1">
      <alignment horizontal="left"/>
    </xf>
    <xf numFmtId="10" fontId="4" fillId="0" borderId="0" xfId="2" applyNumberFormat="1" applyFont="1"/>
    <xf numFmtId="165" fontId="3" fillId="0" borderId="0" xfId="1" applyNumberFormat="1" applyFont="1"/>
    <xf numFmtId="37" fontId="3" fillId="0" borderId="0" xfId="0" applyNumberFormat="1" applyFont="1" applyProtection="1"/>
    <xf numFmtId="10" fontId="4" fillId="0" borderId="0" xfId="0" applyNumberFormat="1" applyFont="1" applyAlignment="1" applyProtection="1">
      <alignment horizontal="center"/>
    </xf>
    <xf numFmtId="164" fontId="6" fillId="0" borderId="0" xfId="0" applyFont="1"/>
    <xf numFmtId="3" fontId="6" fillId="0" borderId="0" xfId="0" applyNumberFormat="1" applyFont="1" applyProtection="1"/>
    <xf numFmtId="3" fontId="7" fillId="0" borderId="0" xfId="0" applyNumberFormat="1" applyFont="1"/>
    <xf numFmtId="3" fontId="6" fillId="0" borderId="0" xfId="0" applyNumberFormat="1" applyFont="1"/>
    <xf numFmtId="37" fontId="7" fillId="0" borderId="0" xfId="0" applyNumberFormat="1" applyFont="1" applyProtection="1"/>
    <xf numFmtId="10" fontId="6" fillId="0" borderId="0" xfId="0" applyNumberFormat="1" applyFont="1" applyAlignment="1" applyProtection="1">
      <alignment horizontal="center"/>
    </xf>
    <xf numFmtId="164" fontId="7" fillId="0" borderId="0" xfId="0" applyFont="1"/>
    <xf numFmtId="165" fontId="7" fillId="0" borderId="0" xfId="1" applyNumberFormat="1" applyFont="1"/>
    <xf numFmtId="164" fontId="3" fillId="0" borderId="0" xfId="0" applyFont="1" applyAlignment="1">
      <alignment horizontal="right"/>
    </xf>
    <xf numFmtId="165" fontId="3" fillId="0" borderId="0" xfId="1" applyNumberFormat="1" applyFont="1" applyAlignment="1" applyProtection="1">
      <alignment horizontal="right"/>
    </xf>
    <xf numFmtId="164" fontId="3" fillId="0" borderId="0" xfId="0" applyFont="1" applyAlignment="1"/>
    <xf numFmtId="1" fontId="3" fillId="0" borderId="0" xfId="2" applyNumberFormat="1" applyFont="1" applyAlignment="1"/>
    <xf numFmtId="1" fontId="3" fillId="0" borderId="0" xfId="0" applyNumberFormat="1" applyFont="1"/>
    <xf numFmtId="1" fontId="3" fillId="0" borderId="0" xfId="0" applyNumberFormat="1" applyFont="1" applyAlignment="1"/>
    <xf numFmtId="1" fontId="3" fillId="0" borderId="0" xfId="2" applyNumberFormat="1" applyFont="1"/>
    <xf numFmtId="1" fontId="3" fillId="0" borderId="0" xfId="0" applyNumberFormat="1" applyFont="1" applyAlignment="1">
      <alignment horizontal="right"/>
    </xf>
    <xf numFmtId="1" fontId="3" fillId="0" borderId="0" xfId="2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0" borderId="0" xfId="2" applyNumberFormat="1" applyFont="1" applyAlignment="1">
      <alignment horizontal="right"/>
    </xf>
    <xf numFmtId="1" fontId="7" fillId="0" borderId="0" xfId="0" applyNumberFormat="1" applyFont="1"/>
    <xf numFmtId="1" fontId="7" fillId="0" borderId="0" xfId="2" applyNumberFormat="1" applyFont="1"/>
    <xf numFmtId="165" fontId="6" fillId="0" borderId="0" xfId="1" applyNumberFormat="1" applyFont="1"/>
    <xf numFmtId="1" fontId="4" fillId="0" borderId="0" xfId="0" applyNumberFormat="1" applyFont="1"/>
    <xf numFmtId="164" fontId="3" fillId="0" borderId="0" xfId="0" quotePrefix="1" applyNumberFormat="1" applyFont="1" applyAlignment="1" applyProtection="1">
      <alignment horizontal="left"/>
      <protection locked="0"/>
    </xf>
    <xf numFmtId="10" fontId="4" fillId="0" borderId="0" xfId="0" applyNumberFormat="1" applyFont="1"/>
    <xf numFmtId="10" fontId="5" fillId="0" borderId="0" xfId="0" applyNumberFormat="1" applyFont="1"/>
    <xf numFmtId="1" fontId="3" fillId="0" borderId="0" xfId="1" applyNumberFormat="1" applyFont="1"/>
    <xf numFmtId="1" fontId="4" fillId="0" borderId="0" xfId="2" applyNumberFormat="1" applyFont="1"/>
    <xf numFmtId="1" fontId="3" fillId="2" borderId="0" xfId="2" applyNumberFormat="1" applyFont="1" applyFill="1"/>
    <xf numFmtId="1" fontId="7" fillId="0" borderId="0" xfId="1" applyNumberFormat="1" applyFont="1"/>
    <xf numFmtId="1" fontId="6" fillId="0" borderId="0" xfId="2" applyNumberFormat="1" applyFont="1"/>
    <xf numFmtId="3" fontId="4" fillId="0" borderId="0" xfId="0" applyNumberFormat="1" applyFont="1" applyAlignment="1" applyProtection="1">
      <alignment horizontal="right"/>
    </xf>
    <xf numFmtId="1" fontId="3" fillId="0" borderId="0" xfId="1" applyNumberFormat="1" applyFont="1" applyAlignment="1">
      <alignment horizontal="right"/>
    </xf>
    <xf numFmtId="1" fontId="4" fillId="0" borderId="0" xfId="2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3" fontId="6" fillId="0" borderId="0" xfId="0" applyNumberFormat="1" applyFont="1" applyAlignment="1" applyProtection="1">
      <alignment horizontal="right"/>
    </xf>
    <xf numFmtId="1" fontId="7" fillId="0" borderId="0" xfId="1" applyNumberFormat="1" applyFont="1" applyAlignment="1">
      <alignment horizontal="right"/>
    </xf>
    <xf numFmtId="1" fontId="6" fillId="0" borderId="0" xfId="2" applyNumberFormat="1" applyFont="1" applyAlignment="1">
      <alignment horizontal="right"/>
    </xf>
    <xf numFmtId="165" fontId="3" fillId="0" borderId="0" xfId="1" applyNumberFormat="1" applyFont="1" applyProtection="1"/>
    <xf numFmtId="165" fontId="3" fillId="0" borderId="0" xfId="1" applyNumberFormat="1" applyFont="1" applyProtection="1">
      <protection locked="0"/>
    </xf>
    <xf numFmtId="165" fontId="7" fillId="0" borderId="0" xfId="1" applyNumberFormat="1" applyFont="1" applyProtection="1">
      <protection locked="0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Protection="1">
      <protection locked="0"/>
    </xf>
    <xf numFmtId="165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center"/>
    </xf>
    <xf numFmtId="41" fontId="3" fillId="0" borderId="0" xfId="0" applyNumberFormat="1" applyFont="1" applyAlignment="1">
      <alignment horizontal="right"/>
    </xf>
    <xf numFmtId="10" fontId="4" fillId="0" borderId="0" xfId="2" applyNumberFormat="1" applyFont="1" applyAlignment="1">
      <alignment horizontal="center"/>
    </xf>
    <xf numFmtId="164" fontId="4" fillId="2" borderId="0" xfId="0" applyFont="1" applyFill="1"/>
    <xf numFmtId="3" fontId="4" fillId="2" borderId="0" xfId="0" applyNumberFormat="1" applyFont="1" applyFill="1"/>
    <xf numFmtId="165" fontId="4" fillId="2" borderId="0" xfId="1" applyNumberFormat="1" applyFont="1" applyFill="1"/>
    <xf numFmtId="165" fontId="3" fillId="0" borderId="0" xfId="1" applyNumberFormat="1" applyFont="1" applyAlignment="1"/>
    <xf numFmtId="164" fontId="1" fillId="0" borderId="0" xfId="0" applyFont="1"/>
    <xf numFmtId="164" fontId="1" fillId="0" borderId="0" xfId="0" applyFont="1" applyAlignment="1">
      <alignment horizontal="center"/>
    </xf>
    <xf numFmtId="165" fontId="10" fillId="0" borderId="0" xfId="1" applyNumberFormat="1" applyFont="1" applyAlignment="1">
      <alignment horizontal="right"/>
    </xf>
    <xf numFmtId="165" fontId="10" fillId="0" borderId="0" xfId="1" applyNumberFormat="1" applyFont="1"/>
    <xf numFmtId="165" fontId="10" fillId="0" borderId="0" xfId="1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164" fontId="6" fillId="3" borderId="0" xfId="0" applyNumberFormat="1" applyFont="1" applyFill="1" applyAlignment="1" applyProtection="1">
      <alignment horizontal="right"/>
    </xf>
    <xf numFmtId="164" fontId="10" fillId="0" borderId="0" xfId="0" applyFont="1" applyAlignment="1">
      <alignment horizontal="right"/>
    </xf>
    <xf numFmtId="1" fontId="10" fillId="0" borderId="0" xfId="2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64" fontId="5" fillId="0" borderId="0" xfId="0" applyFont="1" applyAlignment="1">
      <alignment horizontal="left"/>
    </xf>
    <xf numFmtId="164" fontId="1" fillId="0" borderId="0" xfId="0" applyFont="1" applyAlignment="1">
      <alignment horizontal="left"/>
    </xf>
    <xf numFmtId="10" fontId="1" fillId="0" borderId="0" xfId="2" applyNumberFormat="1" applyFont="1"/>
    <xf numFmtId="164" fontId="1" fillId="0" borderId="0" xfId="0" applyNumberFormat="1" applyFont="1" applyAlignment="1" applyProtection="1">
      <alignment horizontal="right"/>
    </xf>
    <xf numFmtId="164" fontId="1" fillId="0" borderId="0" xfId="0" applyFont="1" applyAlignment="1">
      <alignment horizontal="right"/>
    </xf>
    <xf numFmtId="165" fontId="1" fillId="0" borderId="0" xfId="1" applyNumberFormat="1" applyFont="1"/>
    <xf numFmtId="3" fontId="1" fillId="0" borderId="0" xfId="0" applyNumberFormat="1" applyFont="1"/>
    <xf numFmtId="10" fontId="1" fillId="0" borderId="0" xfId="0" applyNumberFormat="1" applyFont="1" applyAlignment="1" applyProtection="1">
      <alignment horizontal="center"/>
    </xf>
    <xf numFmtId="165" fontId="1" fillId="0" borderId="0" xfId="1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"/>
    </xf>
    <xf numFmtId="1" fontId="10" fillId="0" borderId="0" xfId="1" applyNumberFormat="1" applyFont="1" applyFill="1" applyAlignment="1">
      <alignment horizontal="right"/>
    </xf>
    <xf numFmtId="165" fontId="11" fillId="0" borderId="0" xfId="1" applyNumberFormat="1" applyFont="1" applyAlignment="1">
      <alignment horizontal="right"/>
    </xf>
    <xf numFmtId="165" fontId="12" fillId="0" borderId="0" xfId="1" applyNumberFormat="1" applyFont="1"/>
    <xf numFmtId="164" fontId="10" fillId="0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ynch\MREPORTS\2012\phoscu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pdata\PEF%20Finance\Planning%20&amp;%20Strategy%20Dept\Load%20Forecasting\Lynch\FOR200912\Customer\CF_200912_YE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ynch\MREPORTS\2014\Trueup_EDB_Cus_Reroute_Adj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ual"/>
      <sheetName val="Monthly"/>
    </sheetNames>
    <sheetDataSet>
      <sheetData sheetId="0"/>
      <sheetData sheetId="1">
        <row r="294">
          <cell r="P294">
            <v>85513</v>
          </cell>
        </row>
        <row r="295">
          <cell r="P295">
            <v>88547</v>
          </cell>
        </row>
        <row r="296">
          <cell r="P296">
            <v>83689</v>
          </cell>
        </row>
        <row r="297">
          <cell r="P297">
            <v>88051</v>
          </cell>
        </row>
        <row r="298">
          <cell r="P298">
            <v>82840</v>
          </cell>
        </row>
        <row r="299">
          <cell r="P299">
            <v>92171</v>
          </cell>
        </row>
        <row r="300">
          <cell r="P300">
            <v>95115</v>
          </cell>
        </row>
        <row r="301">
          <cell r="P301">
            <v>86610</v>
          </cell>
        </row>
        <row r="302">
          <cell r="P302">
            <v>89986</v>
          </cell>
        </row>
        <row r="303">
          <cell r="P303">
            <v>79109</v>
          </cell>
        </row>
        <row r="304">
          <cell r="P304">
            <v>87454</v>
          </cell>
        </row>
        <row r="305">
          <cell r="P305">
            <v>93633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CST"/>
      <sheetName val="Comparison"/>
      <sheetName val="Charts"/>
    </sheetNames>
    <sheetDataSet>
      <sheetData sheetId="0">
        <row r="488">
          <cell r="C488">
            <v>1291734</v>
          </cell>
        </row>
        <row r="489">
          <cell r="C489">
            <v>1315019</v>
          </cell>
        </row>
        <row r="490">
          <cell r="C490">
            <v>1340148</v>
          </cell>
        </row>
        <row r="491">
          <cell r="C491">
            <v>1371064</v>
          </cell>
        </row>
        <row r="492">
          <cell r="C492">
            <v>1407370</v>
          </cell>
        </row>
        <row r="493">
          <cell r="C493">
            <v>1443294</v>
          </cell>
        </row>
        <row r="494">
          <cell r="C494">
            <v>1475565</v>
          </cell>
        </row>
        <row r="495">
          <cell r="C495">
            <v>1511302</v>
          </cell>
        </row>
        <row r="496">
          <cell r="C496">
            <v>1548415</v>
          </cell>
        </row>
        <row r="497">
          <cell r="C497">
            <v>1577955</v>
          </cell>
        </row>
        <row r="498">
          <cell r="C498">
            <v>1613420</v>
          </cell>
        </row>
        <row r="499">
          <cell r="C499">
            <v>1636792</v>
          </cell>
        </row>
        <row r="500">
          <cell r="C500">
            <v>1637225</v>
          </cell>
        </row>
        <row r="501">
          <cell r="C501">
            <v>1629711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RC"/>
      <sheetName val="CC"/>
      <sheetName val="IC"/>
      <sheetName val="SHL"/>
      <sheetName val="SPA"/>
      <sheetName val="1996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Charts"/>
    </sheetNames>
    <sheetDataSet>
      <sheetData sheetId="0">
        <row r="220">
          <cell r="I220">
            <v>1640813.3333333333</v>
          </cell>
        </row>
        <row r="232">
          <cell r="I232">
            <v>1642145.1666666667</v>
          </cell>
        </row>
        <row r="244">
          <cell r="I244">
            <v>1649823.4166666667</v>
          </cell>
        </row>
      </sheetData>
      <sheetData sheetId="1">
        <row r="137">
          <cell r="F137">
            <v>1353786</v>
          </cell>
        </row>
      </sheetData>
      <sheetData sheetId="2">
        <row r="137">
          <cell r="F137">
            <v>156188</v>
          </cell>
        </row>
      </sheetData>
      <sheetData sheetId="3">
        <row r="137">
          <cell r="E137">
            <v>2722</v>
          </cell>
        </row>
      </sheetData>
      <sheetData sheetId="4"/>
      <sheetData sheetId="5">
        <row r="137">
          <cell r="E137">
            <v>20293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AG492"/>
  <sheetViews>
    <sheetView tabSelected="1" zoomScale="84" zoomScaleNormal="84" workbookViewId="0">
      <pane xSplit="2" ySplit="5" topLeftCell="C453" activePane="bottomRight" state="frozen"/>
      <selection activeCell="E477" sqref="E477"/>
      <selection pane="topRight" activeCell="E477" sqref="E477"/>
      <selection pane="bottomLeft" activeCell="E477" sqref="E477"/>
      <selection pane="bottomRight" activeCell="E477" sqref="E477"/>
    </sheetView>
  </sheetViews>
  <sheetFormatPr defaultColWidth="9.77734375" defaultRowHeight="12.75"/>
  <cols>
    <col min="1" max="1" width="4.88671875" style="2" customWidth="1"/>
    <col min="2" max="2" width="5.88671875" style="2" customWidth="1"/>
    <col min="3" max="3" width="10.88671875" style="2" bestFit="1" customWidth="1"/>
    <col min="4" max="4" width="10.88671875" style="2" customWidth="1"/>
    <col min="5" max="6" width="11.109375" style="2" customWidth="1"/>
    <col min="7" max="7" width="8.33203125" style="2" customWidth="1"/>
    <col min="8" max="8" width="10.33203125" style="2" customWidth="1"/>
    <col min="9" max="9" width="8.88671875" style="2" customWidth="1"/>
    <col min="10" max="12" width="10.109375" style="2" customWidth="1"/>
    <col min="13" max="13" width="10.88671875" style="2" customWidth="1"/>
    <col min="14" max="14" width="9.33203125" style="2" bestFit="1" customWidth="1"/>
    <col min="15" max="15" width="10.88671875" style="2" bestFit="1" customWidth="1"/>
    <col min="16" max="16" width="9.109375" style="2" bestFit="1" customWidth="1"/>
    <col min="17" max="17" width="10.109375" style="2" bestFit="1" customWidth="1"/>
    <col min="18" max="18" width="10.88671875" style="2" bestFit="1" customWidth="1"/>
    <col min="19" max="19" width="6.6640625" style="3" bestFit="1" customWidth="1"/>
    <col min="20" max="20" width="10.33203125" style="4" bestFit="1" customWidth="1"/>
    <col min="21" max="21" width="11.77734375" style="2" customWidth="1"/>
    <col min="22" max="22" width="3.5546875" style="2" customWidth="1"/>
    <col min="23" max="23" width="8" style="2" bestFit="1" customWidth="1"/>
    <col min="24" max="24" width="11.109375" style="2" customWidth="1"/>
    <col min="25" max="25" width="9.21875" style="2" bestFit="1" customWidth="1"/>
    <col min="26" max="26" width="8.109375" style="2" customWidth="1"/>
    <col min="27" max="27" width="7.5546875" style="2" bestFit="1" customWidth="1"/>
    <col min="28" max="28" width="8.33203125" style="2" bestFit="1" customWidth="1"/>
    <col min="29" max="29" width="6.109375" style="2" bestFit="1" customWidth="1"/>
    <col min="30" max="30" width="7.21875" style="2" customWidth="1"/>
    <col min="31" max="31" width="9.88671875" style="2" bestFit="1" customWidth="1"/>
    <col min="32" max="32" width="10.21875" style="2" bestFit="1" customWidth="1"/>
    <col min="33" max="33" width="8.77734375" style="2" customWidth="1"/>
    <col min="34" max="16384" width="9.77734375" style="2"/>
  </cols>
  <sheetData>
    <row r="1" spans="1:33">
      <c r="A1" s="1" t="s">
        <v>0</v>
      </c>
      <c r="W1" s="1" t="s">
        <v>1</v>
      </c>
    </row>
    <row r="2" spans="1:33">
      <c r="A2" s="49" t="s">
        <v>42</v>
      </c>
      <c r="W2" s="1" t="s">
        <v>2</v>
      </c>
    </row>
    <row r="3" spans="1:33">
      <c r="O3" s="10" t="s">
        <v>35</v>
      </c>
      <c r="R3" s="10" t="s">
        <v>36</v>
      </c>
    </row>
    <row r="4" spans="1:33">
      <c r="C4" s="7" t="s">
        <v>3</v>
      </c>
      <c r="I4" s="8" t="s">
        <v>4</v>
      </c>
      <c r="J4" s="8" t="s">
        <v>5</v>
      </c>
      <c r="K4" s="9"/>
      <c r="L4" s="9"/>
      <c r="M4" s="9"/>
      <c r="N4" s="10" t="s">
        <v>6</v>
      </c>
      <c r="O4" s="10" t="s">
        <v>7</v>
      </c>
      <c r="P4" s="10" t="s">
        <v>8</v>
      </c>
      <c r="R4" s="7" t="s">
        <v>9</v>
      </c>
      <c r="S4" s="3" t="s">
        <v>10</v>
      </c>
      <c r="W4" s="7" t="s">
        <v>3</v>
      </c>
      <c r="X4" s="9"/>
      <c r="Y4" s="9"/>
      <c r="Z4" s="9"/>
      <c r="AA4" s="8" t="s">
        <v>4</v>
      </c>
      <c r="AB4" s="8" t="s">
        <v>5</v>
      </c>
      <c r="AC4" s="9"/>
      <c r="AD4" s="9"/>
      <c r="AE4" s="7" t="s">
        <v>3</v>
      </c>
      <c r="AF4" s="7" t="s">
        <v>3</v>
      </c>
      <c r="AG4" s="78"/>
    </row>
    <row r="5" spans="1:33">
      <c r="A5" s="11" t="s">
        <v>11</v>
      </c>
      <c r="B5" s="11" t="s">
        <v>12</v>
      </c>
      <c r="C5" s="11" t="s">
        <v>9</v>
      </c>
      <c r="D5" s="12" t="s">
        <v>13</v>
      </c>
      <c r="E5" s="12" t="s">
        <v>14</v>
      </c>
      <c r="F5" s="12" t="s">
        <v>15</v>
      </c>
      <c r="G5" s="13" t="s">
        <v>16</v>
      </c>
      <c r="H5" s="14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3" t="s">
        <v>22</v>
      </c>
      <c r="N5" s="14" t="s">
        <v>22</v>
      </c>
      <c r="O5" s="14" t="s">
        <v>23</v>
      </c>
      <c r="P5" s="14" t="s">
        <v>24</v>
      </c>
      <c r="Q5" s="14" t="s">
        <v>25</v>
      </c>
      <c r="R5" s="11" t="s">
        <v>26</v>
      </c>
      <c r="S5" s="15" t="s">
        <v>25</v>
      </c>
      <c r="T5" s="4" t="s">
        <v>27</v>
      </c>
      <c r="U5" s="7" t="s">
        <v>11</v>
      </c>
      <c r="V5" s="7" t="s">
        <v>12</v>
      </c>
      <c r="W5" s="7" t="s">
        <v>9</v>
      </c>
      <c r="X5" s="8" t="s">
        <v>13</v>
      </c>
      <c r="Y5" s="8" t="s">
        <v>14</v>
      </c>
      <c r="Z5" s="8" t="s">
        <v>15</v>
      </c>
      <c r="AA5" s="8" t="s">
        <v>18</v>
      </c>
      <c r="AB5" s="8" t="s">
        <v>19</v>
      </c>
      <c r="AC5" s="8" t="s">
        <v>20</v>
      </c>
      <c r="AD5" s="8" t="s">
        <v>21</v>
      </c>
      <c r="AE5" s="7" t="s">
        <v>37</v>
      </c>
      <c r="AF5" s="7" t="s">
        <v>34</v>
      </c>
      <c r="AG5" s="78"/>
    </row>
    <row r="6" spans="1:33">
      <c r="A6" s="2">
        <v>1975</v>
      </c>
      <c r="B6" s="2">
        <v>1</v>
      </c>
      <c r="C6" s="16">
        <f t="shared" ref="C6:C69" si="0">SUM(D6:F6,I6:L6)</f>
        <v>915829</v>
      </c>
      <c r="D6" s="17">
        <v>447688</v>
      </c>
      <c r="E6" s="17">
        <v>229259</v>
      </c>
      <c r="F6" s="18">
        <v>211462</v>
      </c>
      <c r="G6" s="18">
        <v>112053</v>
      </c>
      <c r="H6" s="19">
        <f t="shared" ref="H6:H69" si="1">(F6-G6)</f>
        <v>99409</v>
      </c>
      <c r="I6" s="18">
        <v>6961</v>
      </c>
      <c r="J6" s="18">
        <v>20459</v>
      </c>
      <c r="K6" s="18"/>
      <c r="L6" s="18"/>
      <c r="M6" s="9"/>
      <c r="P6" s="10" t="s">
        <v>28</v>
      </c>
      <c r="U6" s="2">
        <v>1975</v>
      </c>
      <c r="V6" s="2">
        <v>1</v>
      </c>
      <c r="W6" s="16">
        <f t="shared" ref="W6:W69" si="2">SUM(X6:AD6)</f>
        <v>624350</v>
      </c>
      <c r="X6" s="64">
        <v>561129</v>
      </c>
      <c r="Y6" s="64">
        <v>60125</v>
      </c>
      <c r="Z6" s="23">
        <v>1475</v>
      </c>
      <c r="AA6" s="23">
        <v>1492</v>
      </c>
      <c r="AB6" s="23">
        <v>129</v>
      </c>
      <c r="AC6" s="23"/>
      <c r="AD6" s="23"/>
      <c r="AE6" s="20"/>
      <c r="AF6" s="20">
        <f>SUM(X6:AB6)</f>
        <v>624350</v>
      </c>
    </row>
    <row r="7" spans="1:33">
      <c r="A7" s="2">
        <v>1975</v>
      </c>
      <c r="B7" s="2">
        <v>2</v>
      </c>
      <c r="C7" s="16">
        <f t="shared" si="0"/>
        <v>835201</v>
      </c>
      <c r="D7" s="17">
        <v>379866</v>
      </c>
      <c r="E7" s="17">
        <v>225757</v>
      </c>
      <c r="F7" s="18">
        <v>202327</v>
      </c>
      <c r="G7" s="18">
        <v>101146</v>
      </c>
      <c r="H7" s="19">
        <f t="shared" si="1"/>
        <v>101181</v>
      </c>
      <c r="I7" s="18">
        <v>7079</v>
      </c>
      <c r="J7" s="18">
        <v>20172</v>
      </c>
      <c r="K7" s="18"/>
      <c r="L7" s="18"/>
      <c r="M7" s="9"/>
      <c r="U7" s="2">
        <v>1975</v>
      </c>
      <c r="V7" s="2">
        <v>2</v>
      </c>
      <c r="W7" s="16">
        <f t="shared" si="2"/>
        <v>627721</v>
      </c>
      <c r="X7" s="64">
        <v>564345</v>
      </c>
      <c r="Y7" s="64">
        <v>60292</v>
      </c>
      <c r="Z7" s="23">
        <v>1468</v>
      </c>
      <c r="AA7" s="23">
        <v>1501</v>
      </c>
      <c r="AB7" s="23">
        <v>115</v>
      </c>
      <c r="AC7" s="23"/>
      <c r="AD7" s="23"/>
      <c r="AE7" s="20"/>
      <c r="AF7" s="20">
        <f t="shared" ref="AF7:AF70" si="3">SUM(X7:AB7)</f>
        <v>627721</v>
      </c>
    </row>
    <row r="8" spans="1:33">
      <c r="A8" s="2">
        <v>1975</v>
      </c>
      <c r="B8" s="2">
        <v>3</v>
      </c>
      <c r="C8" s="16">
        <f t="shared" si="0"/>
        <v>834254</v>
      </c>
      <c r="D8" s="17">
        <v>379957</v>
      </c>
      <c r="E8" s="17">
        <v>228149</v>
      </c>
      <c r="F8" s="18">
        <v>198936</v>
      </c>
      <c r="G8" s="18">
        <v>103474</v>
      </c>
      <c r="H8" s="19">
        <f t="shared" si="1"/>
        <v>95462</v>
      </c>
      <c r="I8" s="18">
        <v>7098</v>
      </c>
      <c r="J8" s="18">
        <v>20114</v>
      </c>
      <c r="K8" s="18"/>
      <c r="L8" s="18"/>
      <c r="M8" s="9"/>
      <c r="U8" s="2">
        <v>1975</v>
      </c>
      <c r="V8" s="2">
        <v>3</v>
      </c>
      <c r="W8" s="16">
        <f t="shared" si="2"/>
        <v>628220</v>
      </c>
      <c r="X8" s="64">
        <v>564840</v>
      </c>
      <c r="Y8" s="64">
        <v>60283</v>
      </c>
      <c r="Z8" s="23">
        <v>1467</v>
      </c>
      <c r="AA8" s="23">
        <v>1515</v>
      </c>
      <c r="AB8" s="23">
        <v>115</v>
      </c>
      <c r="AC8" s="23"/>
      <c r="AD8" s="23"/>
      <c r="AE8" s="20"/>
      <c r="AF8" s="20">
        <f t="shared" si="3"/>
        <v>628220</v>
      </c>
    </row>
    <row r="9" spans="1:33">
      <c r="A9" s="2">
        <v>1975</v>
      </c>
      <c r="B9" s="2">
        <v>4</v>
      </c>
      <c r="C9" s="16">
        <f t="shared" si="0"/>
        <v>858886</v>
      </c>
      <c r="D9" s="17">
        <v>369651</v>
      </c>
      <c r="E9" s="17">
        <v>251955</v>
      </c>
      <c r="F9" s="18">
        <v>206213</v>
      </c>
      <c r="G9" s="18">
        <v>115226</v>
      </c>
      <c r="H9" s="19">
        <f t="shared" si="1"/>
        <v>90987</v>
      </c>
      <c r="I9" s="18">
        <v>7138</v>
      </c>
      <c r="J9" s="18">
        <v>23929</v>
      </c>
      <c r="K9" s="18"/>
      <c r="L9" s="18"/>
      <c r="M9" s="9"/>
      <c r="U9" s="2">
        <v>1975</v>
      </c>
      <c r="V9" s="2">
        <v>4</v>
      </c>
      <c r="W9" s="16">
        <f t="shared" si="2"/>
        <v>623433</v>
      </c>
      <c r="X9" s="64">
        <v>559986</v>
      </c>
      <c r="Y9" s="64">
        <v>60335</v>
      </c>
      <c r="Z9" s="23">
        <v>1461</v>
      </c>
      <c r="AA9" s="23">
        <v>1540</v>
      </c>
      <c r="AB9" s="23">
        <v>111</v>
      </c>
      <c r="AC9" s="23"/>
      <c r="AD9" s="23"/>
      <c r="AE9" s="20"/>
      <c r="AF9" s="20">
        <f t="shared" si="3"/>
        <v>623433</v>
      </c>
    </row>
    <row r="10" spans="1:33">
      <c r="A10" s="2">
        <v>1975</v>
      </c>
      <c r="B10" s="2">
        <v>5</v>
      </c>
      <c r="C10" s="16">
        <f t="shared" si="0"/>
        <v>897577</v>
      </c>
      <c r="D10" s="17">
        <v>390663</v>
      </c>
      <c r="E10" s="17">
        <v>267087</v>
      </c>
      <c r="F10" s="18">
        <v>209667</v>
      </c>
      <c r="G10" s="18">
        <v>113125</v>
      </c>
      <c r="H10" s="19">
        <f t="shared" si="1"/>
        <v>96542</v>
      </c>
      <c r="I10" s="18">
        <v>7136</v>
      </c>
      <c r="J10" s="18">
        <v>23024</v>
      </c>
      <c r="K10" s="18"/>
      <c r="L10" s="18"/>
      <c r="M10" s="9"/>
      <c r="U10" s="2">
        <v>1975</v>
      </c>
      <c r="V10" s="2">
        <v>5</v>
      </c>
      <c r="W10" s="16">
        <f t="shared" si="2"/>
        <v>615078</v>
      </c>
      <c r="X10" s="64">
        <v>551661</v>
      </c>
      <c r="Y10" s="64">
        <v>60306</v>
      </c>
      <c r="Z10" s="23">
        <v>1449</v>
      </c>
      <c r="AA10" s="23">
        <v>1551</v>
      </c>
      <c r="AB10" s="23">
        <v>111</v>
      </c>
      <c r="AC10" s="23"/>
      <c r="AD10" s="23"/>
      <c r="AE10" s="20"/>
      <c r="AF10" s="20">
        <f t="shared" si="3"/>
        <v>615078</v>
      </c>
    </row>
    <row r="11" spans="1:33">
      <c r="A11" s="2">
        <v>1975</v>
      </c>
      <c r="B11" s="2">
        <v>6</v>
      </c>
      <c r="C11" s="16">
        <f t="shared" si="0"/>
        <v>1061208</v>
      </c>
      <c r="D11" s="17">
        <v>519202</v>
      </c>
      <c r="E11" s="17">
        <v>301867</v>
      </c>
      <c r="F11" s="18">
        <v>207698</v>
      </c>
      <c r="G11" s="18">
        <v>103216</v>
      </c>
      <c r="H11" s="19">
        <f t="shared" si="1"/>
        <v>104482</v>
      </c>
      <c r="I11" s="18">
        <v>7131</v>
      </c>
      <c r="J11" s="18">
        <v>25310</v>
      </c>
      <c r="K11" s="18"/>
      <c r="L11" s="18"/>
      <c r="M11" s="9"/>
      <c r="U11" s="2">
        <v>1975</v>
      </c>
      <c r="V11" s="2">
        <v>6</v>
      </c>
      <c r="W11" s="16">
        <f t="shared" si="2"/>
        <v>612562</v>
      </c>
      <c r="X11" s="64">
        <v>548933</v>
      </c>
      <c r="Y11" s="64">
        <v>60502</v>
      </c>
      <c r="Z11" s="23">
        <v>1453</v>
      </c>
      <c r="AA11" s="23">
        <v>1563</v>
      </c>
      <c r="AB11" s="23">
        <v>111</v>
      </c>
      <c r="AC11" s="23"/>
      <c r="AD11" s="23"/>
      <c r="AE11" s="20"/>
      <c r="AF11" s="20">
        <f t="shared" si="3"/>
        <v>612562</v>
      </c>
    </row>
    <row r="12" spans="1:33">
      <c r="A12" s="2">
        <v>1975</v>
      </c>
      <c r="B12" s="2">
        <v>7</v>
      </c>
      <c r="C12" s="16">
        <f t="shared" si="0"/>
        <v>1079193</v>
      </c>
      <c r="D12" s="17">
        <v>547576</v>
      </c>
      <c r="E12" s="17">
        <v>297858</v>
      </c>
      <c r="F12" s="18">
        <v>201189</v>
      </c>
      <c r="G12" s="18">
        <v>110954</v>
      </c>
      <c r="H12" s="19">
        <f t="shared" si="1"/>
        <v>90235</v>
      </c>
      <c r="I12" s="18">
        <v>7175</v>
      </c>
      <c r="J12" s="18">
        <v>25395</v>
      </c>
      <c r="K12" s="18"/>
      <c r="L12" s="18"/>
      <c r="M12" s="9"/>
      <c r="U12" s="2">
        <v>1975</v>
      </c>
      <c r="V12" s="2">
        <v>7</v>
      </c>
      <c r="W12" s="16">
        <f t="shared" si="2"/>
        <v>612785</v>
      </c>
      <c r="X12" s="64">
        <v>549080</v>
      </c>
      <c r="Y12" s="64">
        <v>60557</v>
      </c>
      <c r="Z12" s="23">
        <v>1464</v>
      </c>
      <c r="AA12" s="23">
        <v>1573</v>
      </c>
      <c r="AB12" s="23">
        <v>111</v>
      </c>
      <c r="AC12" s="23"/>
      <c r="AD12" s="23"/>
      <c r="AE12" s="20"/>
      <c r="AF12" s="20">
        <f t="shared" si="3"/>
        <v>612785</v>
      </c>
    </row>
    <row r="13" spans="1:33">
      <c r="A13" s="2">
        <v>1975</v>
      </c>
      <c r="B13" s="2">
        <v>8</v>
      </c>
      <c r="C13" s="16">
        <f t="shared" si="0"/>
        <v>1066087</v>
      </c>
      <c r="D13" s="17">
        <v>540010</v>
      </c>
      <c r="E13" s="17">
        <v>299494</v>
      </c>
      <c r="F13" s="18">
        <v>193772</v>
      </c>
      <c r="G13" s="18">
        <v>108549</v>
      </c>
      <c r="H13" s="19">
        <f t="shared" si="1"/>
        <v>85223</v>
      </c>
      <c r="I13" s="18">
        <v>7190</v>
      </c>
      <c r="J13" s="18">
        <v>25621</v>
      </c>
      <c r="K13" s="18"/>
      <c r="L13" s="18"/>
      <c r="M13" s="9"/>
      <c r="U13" s="2">
        <v>1975</v>
      </c>
      <c r="V13" s="2">
        <v>8</v>
      </c>
      <c r="W13" s="16">
        <f t="shared" si="2"/>
        <v>613478</v>
      </c>
      <c r="X13" s="64">
        <v>549626</v>
      </c>
      <c r="Y13" s="64">
        <v>60697</v>
      </c>
      <c r="Z13" s="23">
        <v>1468</v>
      </c>
      <c r="AA13" s="23">
        <v>1576</v>
      </c>
      <c r="AB13" s="23">
        <v>111</v>
      </c>
      <c r="AC13" s="23"/>
      <c r="AD13" s="23"/>
      <c r="AE13" s="20"/>
      <c r="AF13" s="20">
        <f t="shared" si="3"/>
        <v>613478</v>
      </c>
    </row>
    <row r="14" spans="1:33">
      <c r="A14" s="2">
        <v>1975</v>
      </c>
      <c r="B14" s="2">
        <v>9</v>
      </c>
      <c r="C14" s="16">
        <f t="shared" si="0"/>
        <v>1115387</v>
      </c>
      <c r="D14" s="17">
        <v>570489</v>
      </c>
      <c r="E14" s="17">
        <v>305548</v>
      </c>
      <c r="F14" s="18">
        <v>207061</v>
      </c>
      <c r="G14" s="18">
        <v>122889</v>
      </c>
      <c r="H14" s="19">
        <f t="shared" si="1"/>
        <v>84172</v>
      </c>
      <c r="I14" s="18">
        <v>7279</v>
      </c>
      <c r="J14" s="18">
        <v>25010</v>
      </c>
      <c r="K14" s="18"/>
      <c r="L14" s="18"/>
      <c r="M14" s="9"/>
      <c r="U14" s="2">
        <v>1975</v>
      </c>
      <c r="V14" s="2">
        <v>9</v>
      </c>
      <c r="W14" s="16">
        <f t="shared" si="2"/>
        <v>615561</v>
      </c>
      <c r="X14" s="64">
        <v>551524</v>
      </c>
      <c r="Y14" s="64">
        <v>60874</v>
      </c>
      <c r="Z14" s="23">
        <v>1473</v>
      </c>
      <c r="AA14" s="23">
        <v>1579</v>
      </c>
      <c r="AB14" s="23">
        <v>111</v>
      </c>
      <c r="AC14" s="23"/>
      <c r="AD14" s="23"/>
      <c r="AE14" s="20"/>
      <c r="AF14" s="20">
        <f t="shared" si="3"/>
        <v>615561</v>
      </c>
    </row>
    <row r="15" spans="1:33">
      <c r="A15" s="2">
        <v>1975</v>
      </c>
      <c r="B15" s="2">
        <v>10</v>
      </c>
      <c r="C15" s="16">
        <f t="shared" si="0"/>
        <v>987099</v>
      </c>
      <c r="D15" s="17">
        <v>464473</v>
      </c>
      <c r="E15" s="17">
        <v>281252</v>
      </c>
      <c r="F15" s="18">
        <v>206726</v>
      </c>
      <c r="G15" s="18">
        <v>118496</v>
      </c>
      <c r="H15" s="19">
        <f t="shared" si="1"/>
        <v>88230</v>
      </c>
      <c r="I15" s="18">
        <v>7299</v>
      </c>
      <c r="J15" s="18">
        <v>27349</v>
      </c>
      <c r="K15" s="18"/>
      <c r="L15" s="18"/>
      <c r="M15" s="9"/>
      <c r="U15" s="2">
        <v>1975</v>
      </c>
      <c r="V15" s="2">
        <v>10</v>
      </c>
      <c r="W15" s="16">
        <f t="shared" si="2"/>
        <v>619989</v>
      </c>
      <c r="X15" s="64">
        <v>555830</v>
      </c>
      <c r="Y15" s="64">
        <v>60864</v>
      </c>
      <c r="Z15" s="23">
        <v>1473</v>
      </c>
      <c r="AA15" s="23">
        <v>1580</v>
      </c>
      <c r="AB15" s="23">
        <v>242</v>
      </c>
      <c r="AC15" s="23"/>
      <c r="AD15" s="23"/>
      <c r="AE15" s="20"/>
      <c r="AF15" s="20">
        <f t="shared" si="3"/>
        <v>619989</v>
      </c>
    </row>
    <row r="16" spans="1:33">
      <c r="A16" s="2">
        <v>1975</v>
      </c>
      <c r="B16" s="2">
        <v>11</v>
      </c>
      <c r="C16" s="16">
        <f t="shared" si="0"/>
        <v>876302</v>
      </c>
      <c r="D16" s="17">
        <v>376826</v>
      </c>
      <c r="E16" s="17">
        <v>259099</v>
      </c>
      <c r="F16" s="18">
        <v>205808</v>
      </c>
      <c r="G16" s="18">
        <v>118154</v>
      </c>
      <c r="H16" s="19">
        <f t="shared" si="1"/>
        <v>87654</v>
      </c>
      <c r="I16" s="18">
        <v>7346</v>
      </c>
      <c r="J16" s="18">
        <v>27223</v>
      </c>
      <c r="K16" s="18"/>
      <c r="L16" s="18"/>
      <c r="M16" s="9"/>
      <c r="U16" s="2">
        <v>1975</v>
      </c>
      <c r="V16" s="2">
        <v>11</v>
      </c>
      <c r="W16" s="16">
        <f t="shared" si="2"/>
        <v>629070</v>
      </c>
      <c r="X16" s="64">
        <v>564697</v>
      </c>
      <c r="Y16" s="64">
        <v>61070</v>
      </c>
      <c r="Z16" s="23">
        <v>1472</v>
      </c>
      <c r="AA16" s="23">
        <v>1583</v>
      </c>
      <c r="AB16" s="23">
        <v>248</v>
      </c>
      <c r="AC16" s="23"/>
      <c r="AD16" s="23"/>
      <c r="AE16" s="20"/>
      <c r="AF16" s="20">
        <f t="shared" si="3"/>
        <v>629070</v>
      </c>
    </row>
    <row r="17" spans="1:32">
      <c r="A17" s="2">
        <v>1975</v>
      </c>
      <c r="B17" s="2">
        <v>12</v>
      </c>
      <c r="C17" s="16">
        <f t="shared" si="0"/>
        <v>927637</v>
      </c>
      <c r="D17" s="17">
        <v>425588</v>
      </c>
      <c r="E17" s="17">
        <v>240149</v>
      </c>
      <c r="F17" s="18">
        <v>228515</v>
      </c>
      <c r="G17" s="18">
        <v>138087</v>
      </c>
      <c r="H17" s="19">
        <f t="shared" si="1"/>
        <v>90428</v>
      </c>
      <c r="I17" s="18">
        <v>7356</v>
      </c>
      <c r="J17" s="18">
        <v>26029</v>
      </c>
      <c r="K17" s="18"/>
      <c r="L17" s="18"/>
      <c r="M17" s="9"/>
      <c r="U17" s="2">
        <v>1975</v>
      </c>
      <c r="V17" s="2">
        <v>12</v>
      </c>
      <c r="W17" s="16">
        <f t="shared" si="2"/>
        <v>637660</v>
      </c>
      <c r="X17" s="64">
        <v>573070</v>
      </c>
      <c r="Y17" s="64">
        <v>61273</v>
      </c>
      <c r="Z17" s="23">
        <v>1473</v>
      </c>
      <c r="AA17" s="23">
        <v>1593</v>
      </c>
      <c r="AB17" s="23">
        <v>251</v>
      </c>
      <c r="AC17" s="23"/>
      <c r="AD17" s="23"/>
      <c r="AE17" s="20"/>
      <c r="AF17" s="20">
        <f t="shared" si="3"/>
        <v>637660</v>
      </c>
    </row>
    <row r="18" spans="1:32">
      <c r="A18" s="2">
        <v>1976</v>
      </c>
      <c r="B18" s="2">
        <v>1</v>
      </c>
      <c r="C18" s="16">
        <f t="shared" si="0"/>
        <v>1324164</v>
      </c>
      <c r="D18" s="17">
        <v>587358</v>
      </c>
      <c r="E18" s="17">
        <v>251243</v>
      </c>
      <c r="F18" s="18">
        <v>213832</v>
      </c>
      <c r="G18" s="18">
        <v>116896</v>
      </c>
      <c r="H18" s="19">
        <f t="shared" si="1"/>
        <v>96936</v>
      </c>
      <c r="I18" s="18">
        <v>7377</v>
      </c>
      <c r="J18" s="18">
        <v>24883</v>
      </c>
      <c r="K18" s="18">
        <v>142844</v>
      </c>
      <c r="L18" s="18">
        <v>96627</v>
      </c>
      <c r="M18" s="9"/>
      <c r="U18" s="2">
        <v>1976</v>
      </c>
      <c r="V18" s="2">
        <v>1</v>
      </c>
      <c r="W18" s="16">
        <f t="shared" si="2"/>
        <v>644351</v>
      </c>
      <c r="X18" s="64">
        <v>579603</v>
      </c>
      <c r="Y18" s="64">
        <v>61292</v>
      </c>
      <c r="Z18" s="23">
        <v>1475</v>
      </c>
      <c r="AA18" s="23">
        <v>1602</v>
      </c>
      <c r="AB18" s="23">
        <v>253</v>
      </c>
      <c r="AC18" s="23">
        <v>107</v>
      </c>
      <c r="AD18" s="23">
        <v>19</v>
      </c>
      <c r="AE18" s="20">
        <f>SUM(AC18:AD18)</f>
        <v>126</v>
      </c>
      <c r="AF18" s="20">
        <f t="shared" si="3"/>
        <v>644225</v>
      </c>
    </row>
    <row r="19" spans="1:32">
      <c r="A19" s="2">
        <v>1976</v>
      </c>
      <c r="B19" s="2">
        <v>2</v>
      </c>
      <c r="C19" s="16">
        <f t="shared" si="0"/>
        <v>1276383</v>
      </c>
      <c r="D19" s="17">
        <v>547667</v>
      </c>
      <c r="E19" s="17">
        <v>243491</v>
      </c>
      <c r="F19" s="18">
        <v>225716</v>
      </c>
      <c r="G19" s="18">
        <v>124514</v>
      </c>
      <c r="H19" s="19">
        <f t="shared" si="1"/>
        <v>101202</v>
      </c>
      <c r="I19" s="18">
        <v>7586</v>
      </c>
      <c r="J19" s="18">
        <v>25706</v>
      </c>
      <c r="K19" s="18">
        <v>141102</v>
      </c>
      <c r="L19" s="18">
        <v>85115</v>
      </c>
      <c r="M19" s="9"/>
      <c r="U19" s="2">
        <v>1976</v>
      </c>
      <c r="V19" s="2">
        <v>2</v>
      </c>
      <c r="W19" s="16">
        <f t="shared" si="2"/>
        <v>649140</v>
      </c>
      <c r="X19" s="64">
        <v>584292</v>
      </c>
      <c r="Y19" s="64">
        <v>61383</v>
      </c>
      <c r="Z19" s="23">
        <v>1477</v>
      </c>
      <c r="AA19" s="23">
        <v>1607</v>
      </c>
      <c r="AB19" s="23">
        <v>255</v>
      </c>
      <c r="AC19" s="23">
        <v>107</v>
      </c>
      <c r="AD19" s="23">
        <v>19</v>
      </c>
      <c r="AE19" s="20">
        <f t="shared" ref="AE19:AE82" si="4">SUM(AC19:AD19)</f>
        <v>126</v>
      </c>
      <c r="AF19" s="20">
        <f t="shared" si="3"/>
        <v>649014</v>
      </c>
    </row>
    <row r="20" spans="1:32">
      <c r="A20" s="2">
        <v>1976</v>
      </c>
      <c r="B20" s="2">
        <v>3</v>
      </c>
      <c r="C20" s="16">
        <f t="shared" si="0"/>
        <v>1126788</v>
      </c>
      <c r="D20" s="17">
        <v>402374</v>
      </c>
      <c r="E20" s="17">
        <v>246761</v>
      </c>
      <c r="F20" s="18">
        <v>252197</v>
      </c>
      <c r="G20" s="18">
        <v>147105</v>
      </c>
      <c r="H20" s="19">
        <f t="shared" si="1"/>
        <v>105092</v>
      </c>
      <c r="I20" s="18">
        <v>7602</v>
      </c>
      <c r="J20" s="18">
        <v>26574</v>
      </c>
      <c r="K20" s="18">
        <v>107512</v>
      </c>
      <c r="L20" s="18">
        <v>83768</v>
      </c>
      <c r="M20" s="9"/>
      <c r="U20" s="2">
        <v>1976</v>
      </c>
      <c r="V20" s="2">
        <v>3</v>
      </c>
      <c r="W20" s="16">
        <f t="shared" si="2"/>
        <v>651089</v>
      </c>
      <c r="X20" s="64">
        <v>586041</v>
      </c>
      <c r="Y20" s="64">
        <v>61577</v>
      </c>
      <c r="Z20" s="23">
        <v>1472</v>
      </c>
      <c r="AA20" s="23">
        <v>1616</v>
      </c>
      <c r="AB20" s="23">
        <v>257</v>
      </c>
      <c r="AC20" s="23">
        <v>107</v>
      </c>
      <c r="AD20" s="23">
        <v>19</v>
      </c>
      <c r="AE20" s="20">
        <f t="shared" si="4"/>
        <v>126</v>
      </c>
      <c r="AF20" s="20">
        <f t="shared" si="3"/>
        <v>650963</v>
      </c>
    </row>
    <row r="21" spans="1:32">
      <c r="A21" s="2">
        <v>1976</v>
      </c>
      <c r="B21" s="2">
        <v>4</v>
      </c>
      <c r="C21" s="16">
        <f t="shared" si="0"/>
        <v>1070550</v>
      </c>
      <c r="D21" s="17">
        <v>362209</v>
      </c>
      <c r="E21" s="17">
        <v>261627</v>
      </c>
      <c r="F21" s="18">
        <v>215806</v>
      </c>
      <c r="G21" s="18">
        <v>125134</v>
      </c>
      <c r="H21" s="19">
        <f t="shared" si="1"/>
        <v>90672</v>
      </c>
      <c r="I21" s="18">
        <v>7620</v>
      </c>
      <c r="J21" s="18">
        <v>28971</v>
      </c>
      <c r="K21" s="18">
        <v>102956</v>
      </c>
      <c r="L21" s="18">
        <v>91361</v>
      </c>
      <c r="M21" s="9"/>
      <c r="U21" s="2">
        <v>1976</v>
      </c>
      <c r="V21" s="2">
        <v>4</v>
      </c>
      <c r="W21" s="16">
        <f t="shared" si="2"/>
        <v>649272</v>
      </c>
      <c r="X21" s="64">
        <v>583523</v>
      </c>
      <c r="Y21" s="64">
        <v>62265</v>
      </c>
      <c r="Z21" s="23">
        <v>1472</v>
      </c>
      <c r="AA21" s="23">
        <v>1627</v>
      </c>
      <c r="AB21" s="23">
        <v>258</v>
      </c>
      <c r="AC21" s="23">
        <v>108</v>
      </c>
      <c r="AD21" s="23">
        <v>19</v>
      </c>
      <c r="AE21" s="20">
        <f t="shared" si="4"/>
        <v>127</v>
      </c>
      <c r="AF21" s="20">
        <f t="shared" si="3"/>
        <v>649145</v>
      </c>
    </row>
    <row r="22" spans="1:32">
      <c r="A22" s="2">
        <v>1976</v>
      </c>
      <c r="B22" s="2">
        <v>5</v>
      </c>
      <c r="C22" s="16">
        <f t="shared" si="0"/>
        <v>1078791</v>
      </c>
      <c r="D22" s="17">
        <v>362508</v>
      </c>
      <c r="E22" s="17">
        <v>272662</v>
      </c>
      <c r="F22" s="18">
        <v>217118</v>
      </c>
      <c r="G22" s="18">
        <v>118458</v>
      </c>
      <c r="H22" s="19">
        <f t="shared" si="1"/>
        <v>98660</v>
      </c>
      <c r="I22" s="18">
        <v>7756</v>
      </c>
      <c r="J22" s="18">
        <v>28716</v>
      </c>
      <c r="K22" s="18">
        <v>100298</v>
      </c>
      <c r="L22" s="18">
        <v>89733</v>
      </c>
      <c r="M22" s="9"/>
      <c r="U22" s="2">
        <v>1976</v>
      </c>
      <c r="V22" s="2">
        <v>5</v>
      </c>
      <c r="W22" s="16">
        <f t="shared" si="2"/>
        <v>637122</v>
      </c>
      <c r="X22" s="64">
        <v>571672</v>
      </c>
      <c r="Y22" s="64">
        <v>61962</v>
      </c>
      <c r="Z22" s="23">
        <v>1467</v>
      </c>
      <c r="AA22" s="23">
        <v>1634</v>
      </c>
      <c r="AB22" s="23">
        <v>259</v>
      </c>
      <c r="AC22" s="23">
        <v>109</v>
      </c>
      <c r="AD22" s="23">
        <v>19</v>
      </c>
      <c r="AE22" s="20">
        <f t="shared" si="4"/>
        <v>128</v>
      </c>
      <c r="AF22" s="20">
        <f t="shared" si="3"/>
        <v>636994</v>
      </c>
    </row>
    <row r="23" spans="1:32">
      <c r="A23" s="2">
        <v>1976</v>
      </c>
      <c r="B23" s="2">
        <v>6</v>
      </c>
      <c r="C23" s="16">
        <f t="shared" si="0"/>
        <v>1138858</v>
      </c>
      <c r="D23" s="17">
        <v>416505</v>
      </c>
      <c r="E23" s="17">
        <v>285594</v>
      </c>
      <c r="F23" s="18">
        <v>193961</v>
      </c>
      <c r="G23" s="18">
        <v>79594</v>
      </c>
      <c r="H23" s="19">
        <f t="shared" si="1"/>
        <v>114367</v>
      </c>
      <c r="I23" s="18">
        <v>7692</v>
      </c>
      <c r="J23" s="18">
        <v>29467</v>
      </c>
      <c r="K23" s="18">
        <v>105353</v>
      </c>
      <c r="L23" s="18">
        <v>100286</v>
      </c>
      <c r="M23" s="9"/>
      <c r="U23" s="2">
        <v>1976</v>
      </c>
      <c r="V23" s="2">
        <v>6</v>
      </c>
      <c r="W23" s="16">
        <f t="shared" si="2"/>
        <v>635790</v>
      </c>
      <c r="X23" s="64">
        <v>570054</v>
      </c>
      <c r="Y23" s="64">
        <v>62231</v>
      </c>
      <c r="Z23" s="23">
        <v>1462</v>
      </c>
      <c r="AA23" s="23">
        <v>1651</v>
      </c>
      <c r="AB23" s="23">
        <v>264</v>
      </c>
      <c r="AC23" s="23">
        <v>109</v>
      </c>
      <c r="AD23" s="23">
        <v>19</v>
      </c>
      <c r="AE23" s="20">
        <f t="shared" si="4"/>
        <v>128</v>
      </c>
      <c r="AF23" s="20">
        <f t="shared" si="3"/>
        <v>635662</v>
      </c>
    </row>
    <row r="24" spans="1:32">
      <c r="A24" s="2">
        <v>1976</v>
      </c>
      <c r="B24" s="2">
        <v>7</v>
      </c>
      <c r="C24" s="16">
        <f t="shared" si="0"/>
        <v>1324267</v>
      </c>
      <c r="D24" s="17">
        <v>522239</v>
      </c>
      <c r="E24" s="17">
        <v>304901</v>
      </c>
      <c r="F24" s="18">
        <v>213078</v>
      </c>
      <c r="G24" s="18">
        <v>103956</v>
      </c>
      <c r="H24" s="19">
        <f t="shared" si="1"/>
        <v>109122</v>
      </c>
      <c r="I24" s="18">
        <v>7939</v>
      </c>
      <c r="J24" s="18">
        <v>30695</v>
      </c>
      <c r="K24" s="18">
        <v>127189</v>
      </c>
      <c r="L24" s="18">
        <v>118226</v>
      </c>
      <c r="M24" s="9"/>
      <c r="U24" s="2">
        <v>1976</v>
      </c>
      <c r="V24" s="2">
        <v>7</v>
      </c>
      <c r="W24" s="16">
        <f t="shared" si="2"/>
        <v>636063</v>
      </c>
      <c r="X24" s="64">
        <v>570221</v>
      </c>
      <c r="Y24" s="64">
        <v>62320</v>
      </c>
      <c r="Z24" s="23">
        <v>1473</v>
      </c>
      <c r="AA24" s="23">
        <v>1658</v>
      </c>
      <c r="AB24" s="23">
        <v>263</v>
      </c>
      <c r="AC24" s="23">
        <v>109</v>
      </c>
      <c r="AD24" s="23">
        <v>19</v>
      </c>
      <c r="AE24" s="20">
        <f t="shared" si="4"/>
        <v>128</v>
      </c>
      <c r="AF24" s="20">
        <f t="shared" si="3"/>
        <v>635935</v>
      </c>
    </row>
    <row r="25" spans="1:32">
      <c r="A25" s="2">
        <v>1976</v>
      </c>
      <c r="B25" s="2">
        <v>8</v>
      </c>
      <c r="C25" s="16">
        <f t="shared" si="0"/>
        <v>1437604</v>
      </c>
      <c r="D25" s="17">
        <v>597459</v>
      </c>
      <c r="E25" s="17">
        <v>312420</v>
      </c>
      <c r="F25" s="18">
        <v>233313</v>
      </c>
      <c r="G25" s="18">
        <v>132892</v>
      </c>
      <c r="H25" s="19">
        <f t="shared" si="1"/>
        <v>100421</v>
      </c>
      <c r="I25" s="18">
        <v>7781</v>
      </c>
      <c r="J25" s="18">
        <v>29281</v>
      </c>
      <c r="K25" s="18">
        <v>142995</v>
      </c>
      <c r="L25" s="18">
        <v>114355</v>
      </c>
      <c r="M25" s="9"/>
      <c r="U25" s="2">
        <v>1976</v>
      </c>
      <c r="V25" s="2">
        <v>8</v>
      </c>
      <c r="W25" s="16">
        <f t="shared" si="2"/>
        <v>637204</v>
      </c>
      <c r="X25" s="64">
        <v>571319</v>
      </c>
      <c r="Y25" s="64">
        <v>62358</v>
      </c>
      <c r="Z25" s="23">
        <v>1469</v>
      </c>
      <c r="AA25" s="23">
        <v>1669</v>
      </c>
      <c r="AB25" s="23">
        <v>261</v>
      </c>
      <c r="AC25" s="23">
        <v>109</v>
      </c>
      <c r="AD25" s="23">
        <v>19</v>
      </c>
      <c r="AE25" s="20">
        <f t="shared" si="4"/>
        <v>128</v>
      </c>
      <c r="AF25" s="20">
        <f t="shared" si="3"/>
        <v>637076</v>
      </c>
    </row>
    <row r="26" spans="1:32">
      <c r="A26" s="2">
        <v>1976</v>
      </c>
      <c r="B26" s="2">
        <v>9</v>
      </c>
      <c r="C26" s="16">
        <f t="shared" si="0"/>
        <v>1452209</v>
      </c>
      <c r="D26" s="17">
        <v>594975</v>
      </c>
      <c r="E26" s="17">
        <v>328169</v>
      </c>
      <c r="F26" s="18">
        <v>229703</v>
      </c>
      <c r="G26" s="18">
        <v>126360</v>
      </c>
      <c r="H26" s="19">
        <f t="shared" si="1"/>
        <v>103343</v>
      </c>
      <c r="I26" s="18">
        <v>7874</v>
      </c>
      <c r="J26" s="18">
        <v>30191</v>
      </c>
      <c r="K26" s="18">
        <v>144910</v>
      </c>
      <c r="L26" s="18">
        <v>116387</v>
      </c>
      <c r="M26" s="9"/>
      <c r="U26" s="2">
        <v>1976</v>
      </c>
      <c r="V26" s="2">
        <v>9</v>
      </c>
      <c r="W26" s="16">
        <f t="shared" si="2"/>
        <v>639293</v>
      </c>
      <c r="X26" s="64">
        <v>573203</v>
      </c>
      <c r="Y26" s="64">
        <v>62555</v>
      </c>
      <c r="Z26" s="23">
        <v>1473</v>
      </c>
      <c r="AA26" s="23">
        <v>1673</v>
      </c>
      <c r="AB26" s="23">
        <v>261</v>
      </c>
      <c r="AC26" s="23">
        <v>109</v>
      </c>
      <c r="AD26" s="23">
        <v>19</v>
      </c>
      <c r="AE26" s="20">
        <f t="shared" si="4"/>
        <v>128</v>
      </c>
      <c r="AF26" s="20">
        <f t="shared" si="3"/>
        <v>639165</v>
      </c>
    </row>
    <row r="27" spans="1:32">
      <c r="A27" s="2">
        <v>1976</v>
      </c>
      <c r="B27" s="2">
        <v>10</v>
      </c>
      <c r="C27" s="16">
        <f t="shared" si="0"/>
        <v>1253652</v>
      </c>
      <c r="D27" s="17">
        <v>476462</v>
      </c>
      <c r="E27" s="17">
        <v>292054</v>
      </c>
      <c r="F27" s="18">
        <v>230951</v>
      </c>
      <c r="G27" s="18">
        <v>133536</v>
      </c>
      <c r="H27" s="19">
        <f t="shared" si="1"/>
        <v>97415</v>
      </c>
      <c r="I27" s="18">
        <v>7888</v>
      </c>
      <c r="J27" s="18">
        <v>29110</v>
      </c>
      <c r="K27" s="18">
        <v>119007</v>
      </c>
      <c r="L27" s="18">
        <v>98180</v>
      </c>
      <c r="M27" s="9"/>
      <c r="U27" s="2">
        <v>1976</v>
      </c>
      <c r="V27" s="2">
        <v>10</v>
      </c>
      <c r="W27" s="16">
        <f t="shared" si="2"/>
        <v>643775</v>
      </c>
      <c r="X27" s="64">
        <v>577364</v>
      </c>
      <c r="Y27" s="64">
        <v>62856</v>
      </c>
      <c r="Z27" s="23">
        <v>1489</v>
      </c>
      <c r="AA27" s="23">
        <v>1675</v>
      </c>
      <c r="AB27" s="23">
        <v>262</v>
      </c>
      <c r="AC27" s="23">
        <v>109</v>
      </c>
      <c r="AD27" s="23">
        <v>20</v>
      </c>
      <c r="AE27" s="20">
        <f t="shared" si="4"/>
        <v>129</v>
      </c>
      <c r="AF27" s="20">
        <f t="shared" si="3"/>
        <v>643646</v>
      </c>
    </row>
    <row r="28" spans="1:32">
      <c r="A28" s="2">
        <v>1976</v>
      </c>
      <c r="B28" s="2">
        <v>11</v>
      </c>
      <c r="C28" s="16">
        <f t="shared" si="0"/>
        <v>1100478</v>
      </c>
      <c r="D28" s="17">
        <v>380934</v>
      </c>
      <c r="E28" s="17">
        <v>248596</v>
      </c>
      <c r="F28" s="18">
        <v>235738</v>
      </c>
      <c r="G28" s="18">
        <v>133660</v>
      </c>
      <c r="H28" s="19">
        <f t="shared" si="1"/>
        <v>102078</v>
      </c>
      <c r="I28" s="18">
        <v>7923</v>
      </c>
      <c r="J28" s="18">
        <v>26861</v>
      </c>
      <c r="K28" s="18">
        <v>110843</v>
      </c>
      <c r="L28" s="18">
        <v>89583</v>
      </c>
      <c r="M28" s="9"/>
      <c r="U28" s="2">
        <v>1976</v>
      </c>
      <c r="V28" s="2">
        <v>11</v>
      </c>
      <c r="W28" s="16">
        <f t="shared" si="2"/>
        <v>652839</v>
      </c>
      <c r="X28" s="64">
        <v>586098</v>
      </c>
      <c r="Y28" s="64">
        <v>63136</v>
      </c>
      <c r="Z28" s="23">
        <v>1529</v>
      </c>
      <c r="AA28" s="23">
        <v>1679</v>
      </c>
      <c r="AB28" s="23">
        <v>268</v>
      </c>
      <c r="AC28" s="23">
        <v>109</v>
      </c>
      <c r="AD28" s="23">
        <v>20</v>
      </c>
      <c r="AE28" s="20">
        <f t="shared" si="4"/>
        <v>129</v>
      </c>
      <c r="AF28" s="20">
        <f t="shared" si="3"/>
        <v>652710</v>
      </c>
    </row>
    <row r="29" spans="1:32">
      <c r="A29" s="2">
        <v>1976</v>
      </c>
      <c r="B29" s="2">
        <v>12</v>
      </c>
      <c r="C29" s="16">
        <f t="shared" si="0"/>
        <v>1232880</v>
      </c>
      <c r="D29" s="17">
        <v>500200</v>
      </c>
      <c r="E29" s="17">
        <v>250518</v>
      </c>
      <c r="F29" s="18">
        <v>229111</v>
      </c>
      <c r="G29" s="18">
        <v>128919</v>
      </c>
      <c r="H29" s="19">
        <f t="shared" si="1"/>
        <v>100192</v>
      </c>
      <c r="I29" s="18">
        <v>7952</v>
      </c>
      <c r="J29" s="18">
        <v>26286</v>
      </c>
      <c r="K29" s="18">
        <v>127066</v>
      </c>
      <c r="L29" s="18">
        <v>91747</v>
      </c>
      <c r="M29" s="9"/>
      <c r="U29" s="2">
        <v>1976</v>
      </c>
      <c r="V29" s="2">
        <v>12</v>
      </c>
      <c r="W29" s="16">
        <f t="shared" si="2"/>
        <v>662215</v>
      </c>
      <c r="X29" s="64">
        <v>595139</v>
      </c>
      <c r="Y29" s="64">
        <v>63387</v>
      </c>
      <c r="Z29" s="23">
        <v>1610</v>
      </c>
      <c r="AA29" s="23">
        <v>1682</v>
      </c>
      <c r="AB29" s="23">
        <v>268</v>
      </c>
      <c r="AC29" s="23">
        <v>109</v>
      </c>
      <c r="AD29" s="23">
        <v>20</v>
      </c>
      <c r="AE29" s="20">
        <f t="shared" si="4"/>
        <v>129</v>
      </c>
      <c r="AF29" s="20">
        <f t="shared" si="3"/>
        <v>662086</v>
      </c>
    </row>
    <row r="30" spans="1:32">
      <c r="A30" s="2">
        <v>1977</v>
      </c>
      <c r="B30" s="2">
        <v>1</v>
      </c>
      <c r="C30" s="16">
        <f t="shared" si="0"/>
        <v>1439218</v>
      </c>
      <c r="D30" s="17">
        <v>648576</v>
      </c>
      <c r="E30" s="17">
        <v>268494</v>
      </c>
      <c r="F30" s="18">
        <v>212306</v>
      </c>
      <c r="G30" s="18">
        <v>105025</v>
      </c>
      <c r="H30" s="19">
        <f t="shared" si="1"/>
        <v>107281</v>
      </c>
      <c r="I30" s="18">
        <v>7968</v>
      </c>
      <c r="J30" s="18">
        <v>26780</v>
      </c>
      <c r="K30" s="18">
        <v>160282</v>
      </c>
      <c r="L30" s="18">
        <v>114812</v>
      </c>
      <c r="M30" s="9"/>
      <c r="U30" s="2">
        <v>1977</v>
      </c>
      <c r="V30" s="2">
        <v>1</v>
      </c>
      <c r="W30" s="16">
        <f t="shared" si="2"/>
        <v>669090</v>
      </c>
      <c r="X30" s="64">
        <v>601867</v>
      </c>
      <c r="Y30" s="64">
        <v>63525</v>
      </c>
      <c r="Z30" s="23">
        <v>1620</v>
      </c>
      <c r="AA30" s="23">
        <v>1683</v>
      </c>
      <c r="AB30" s="23">
        <v>266</v>
      </c>
      <c r="AC30" s="23">
        <v>109</v>
      </c>
      <c r="AD30" s="23">
        <v>20</v>
      </c>
      <c r="AE30" s="20">
        <f t="shared" si="4"/>
        <v>129</v>
      </c>
      <c r="AF30" s="20">
        <f t="shared" si="3"/>
        <v>668961</v>
      </c>
    </row>
    <row r="31" spans="1:32">
      <c r="A31" s="2">
        <v>1977</v>
      </c>
      <c r="B31" s="2">
        <v>2</v>
      </c>
      <c r="C31" s="16">
        <f t="shared" si="0"/>
        <v>1540532</v>
      </c>
      <c r="D31" s="17">
        <v>732892</v>
      </c>
      <c r="E31" s="17">
        <v>277065</v>
      </c>
      <c r="F31" s="18">
        <v>227358</v>
      </c>
      <c r="G31" s="18">
        <v>113859</v>
      </c>
      <c r="H31" s="19">
        <f t="shared" si="1"/>
        <v>113499</v>
      </c>
      <c r="I31" s="18">
        <v>8024</v>
      </c>
      <c r="J31" s="18">
        <v>25553</v>
      </c>
      <c r="K31" s="18">
        <v>172941</v>
      </c>
      <c r="L31" s="18">
        <v>96699</v>
      </c>
      <c r="M31" s="9"/>
      <c r="U31" s="2">
        <v>1977</v>
      </c>
      <c r="V31" s="2">
        <v>2</v>
      </c>
      <c r="W31" s="16">
        <f t="shared" si="2"/>
        <v>673428</v>
      </c>
      <c r="X31" s="64">
        <v>605993</v>
      </c>
      <c r="Y31" s="64">
        <v>63700</v>
      </c>
      <c r="Z31" s="23">
        <v>1638</v>
      </c>
      <c r="AA31" s="23">
        <v>1688</v>
      </c>
      <c r="AB31" s="23">
        <v>279</v>
      </c>
      <c r="AC31" s="23">
        <v>109</v>
      </c>
      <c r="AD31" s="23">
        <v>21</v>
      </c>
      <c r="AE31" s="20">
        <f t="shared" si="4"/>
        <v>130</v>
      </c>
      <c r="AF31" s="20">
        <f t="shared" si="3"/>
        <v>673298</v>
      </c>
    </row>
    <row r="32" spans="1:32">
      <c r="A32" s="2">
        <v>1977</v>
      </c>
      <c r="B32" s="2">
        <v>3</v>
      </c>
      <c r="C32" s="16">
        <f t="shared" si="0"/>
        <v>1267208</v>
      </c>
      <c r="D32" s="17">
        <v>516494</v>
      </c>
      <c r="E32" s="17">
        <v>258012</v>
      </c>
      <c r="F32" s="18">
        <v>245660</v>
      </c>
      <c r="G32" s="18">
        <v>125583</v>
      </c>
      <c r="H32" s="19">
        <f t="shared" si="1"/>
        <v>120077</v>
      </c>
      <c r="I32" s="18">
        <v>8024</v>
      </c>
      <c r="J32" s="18">
        <v>26501</v>
      </c>
      <c r="K32" s="18">
        <v>129763</v>
      </c>
      <c r="L32" s="18">
        <v>82754</v>
      </c>
      <c r="M32" s="9"/>
      <c r="U32" s="2">
        <v>1977</v>
      </c>
      <c r="V32" s="2">
        <v>3</v>
      </c>
      <c r="W32" s="16">
        <f t="shared" si="2"/>
        <v>675209</v>
      </c>
      <c r="X32" s="64">
        <v>607598</v>
      </c>
      <c r="Y32" s="64">
        <v>63890</v>
      </c>
      <c r="Z32" s="23">
        <v>1631</v>
      </c>
      <c r="AA32" s="23">
        <v>1679</v>
      </c>
      <c r="AB32" s="23">
        <v>281</v>
      </c>
      <c r="AC32" s="23">
        <v>109</v>
      </c>
      <c r="AD32" s="23">
        <v>21</v>
      </c>
      <c r="AE32" s="20">
        <f t="shared" si="4"/>
        <v>130</v>
      </c>
      <c r="AF32" s="20">
        <f t="shared" si="3"/>
        <v>675079</v>
      </c>
    </row>
    <row r="33" spans="1:32">
      <c r="A33" s="2">
        <v>1977</v>
      </c>
      <c r="B33" s="2">
        <v>4</v>
      </c>
      <c r="C33" s="16">
        <f t="shared" si="0"/>
        <v>1166264</v>
      </c>
      <c r="D33" s="17">
        <v>402551</v>
      </c>
      <c r="E33" s="17">
        <v>288016</v>
      </c>
      <c r="F33" s="18">
        <v>245626</v>
      </c>
      <c r="G33" s="18">
        <v>116845</v>
      </c>
      <c r="H33" s="19">
        <f t="shared" si="1"/>
        <v>128781</v>
      </c>
      <c r="I33" s="18">
        <v>8029</v>
      </c>
      <c r="J33" s="18">
        <v>31457</v>
      </c>
      <c r="K33" s="18">
        <v>106262</v>
      </c>
      <c r="L33" s="18">
        <v>84323</v>
      </c>
      <c r="M33" s="9"/>
      <c r="U33" s="2">
        <v>1977</v>
      </c>
      <c r="V33" s="2">
        <v>4</v>
      </c>
      <c r="W33" s="16">
        <f t="shared" si="2"/>
        <v>670509</v>
      </c>
      <c r="X33" s="64">
        <v>602492</v>
      </c>
      <c r="Y33" s="64">
        <v>64271</v>
      </c>
      <c r="Z33" s="23">
        <v>1625</v>
      </c>
      <c r="AA33" s="23">
        <v>1684</v>
      </c>
      <c r="AB33" s="23">
        <v>283</v>
      </c>
      <c r="AC33" s="23">
        <v>124</v>
      </c>
      <c r="AD33" s="23">
        <v>30</v>
      </c>
      <c r="AE33" s="20">
        <f t="shared" si="4"/>
        <v>154</v>
      </c>
      <c r="AF33" s="20">
        <f t="shared" si="3"/>
        <v>670355</v>
      </c>
    </row>
    <row r="34" spans="1:32">
      <c r="A34" s="2">
        <v>1977</v>
      </c>
      <c r="B34" s="2">
        <v>5</v>
      </c>
      <c r="C34" s="16">
        <f t="shared" si="0"/>
        <v>1113941</v>
      </c>
      <c r="D34" s="17">
        <v>368528</v>
      </c>
      <c r="E34" s="17">
        <v>278004</v>
      </c>
      <c r="F34" s="18">
        <v>239918</v>
      </c>
      <c r="G34" s="18">
        <v>120537</v>
      </c>
      <c r="H34" s="19">
        <f t="shared" si="1"/>
        <v>119381</v>
      </c>
      <c r="I34" s="18">
        <v>8017</v>
      </c>
      <c r="J34" s="18">
        <v>32656</v>
      </c>
      <c r="K34" s="18">
        <v>101075</v>
      </c>
      <c r="L34" s="18">
        <v>85743</v>
      </c>
      <c r="M34" s="9"/>
      <c r="U34" s="2">
        <v>1977</v>
      </c>
      <c r="V34" s="2">
        <v>5</v>
      </c>
      <c r="W34" s="16">
        <f t="shared" si="2"/>
        <v>661853</v>
      </c>
      <c r="X34" s="64">
        <v>593672</v>
      </c>
      <c r="Y34" s="64">
        <v>64413</v>
      </c>
      <c r="Z34" s="23">
        <v>1638</v>
      </c>
      <c r="AA34" s="23">
        <v>1688</v>
      </c>
      <c r="AB34" s="23">
        <v>287</v>
      </c>
      <c r="AC34" s="23">
        <v>124</v>
      </c>
      <c r="AD34" s="23">
        <v>31</v>
      </c>
      <c r="AE34" s="20">
        <f t="shared" si="4"/>
        <v>155</v>
      </c>
      <c r="AF34" s="20">
        <f t="shared" si="3"/>
        <v>661698</v>
      </c>
    </row>
    <row r="35" spans="1:32">
      <c r="A35" s="2">
        <v>1977</v>
      </c>
      <c r="B35" s="2">
        <v>6</v>
      </c>
      <c r="C35" s="16">
        <f t="shared" si="0"/>
        <v>1297912</v>
      </c>
      <c r="D35" s="17">
        <v>471586</v>
      </c>
      <c r="E35" s="17">
        <v>312867</v>
      </c>
      <c r="F35" s="18">
        <v>235255</v>
      </c>
      <c r="G35" s="18">
        <v>117305</v>
      </c>
      <c r="H35" s="19">
        <f t="shared" si="1"/>
        <v>117950</v>
      </c>
      <c r="I35" s="18">
        <v>8032</v>
      </c>
      <c r="J35" s="18">
        <v>34003</v>
      </c>
      <c r="K35" s="18">
        <v>124005</v>
      </c>
      <c r="L35" s="18">
        <v>112164</v>
      </c>
      <c r="M35" s="9"/>
      <c r="U35" s="2">
        <v>1977</v>
      </c>
      <c r="V35" s="2">
        <v>6</v>
      </c>
      <c r="W35" s="16">
        <f t="shared" si="2"/>
        <v>659244</v>
      </c>
      <c r="X35" s="64">
        <v>590852</v>
      </c>
      <c r="Y35" s="64">
        <v>64629</v>
      </c>
      <c r="Z35" s="23">
        <v>1641</v>
      </c>
      <c r="AA35" s="23">
        <v>1692</v>
      </c>
      <c r="AB35" s="23">
        <v>288</v>
      </c>
      <c r="AC35" s="23">
        <v>112</v>
      </c>
      <c r="AD35" s="23">
        <v>30</v>
      </c>
      <c r="AE35" s="20">
        <f t="shared" si="4"/>
        <v>142</v>
      </c>
      <c r="AF35" s="20">
        <f t="shared" si="3"/>
        <v>659102</v>
      </c>
    </row>
    <row r="36" spans="1:32">
      <c r="A36" s="2">
        <v>1977</v>
      </c>
      <c r="B36" s="2">
        <v>7</v>
      </c>
      <c r="C36" s="16">
        <f t="shared" si="0"/>
        <v>1496047</v>
      </c>
      <c r="D36" s="17">
        <v>632605</v>
      </c>
      <c r="E36" s="17">
        <v>336268</v>
      </c>
      <c r="F36" s="18">
        <v>226719</v>
      </c>
      <c r="G36" s="18">
        <v>116486</v>
      </c>
      <c r="H36" s="19">
        <f t="shared" si="1"/>
        <v>110233</v>
      </c>
      <c r="I36" s="18">
        <v>8018</v>
      </c>
      <c r="J36" s="18">
        <v>32834</v>
      </c>
      <c r="K36" s="18">
        <v>147125</v>
      </c>
      <c r="L36" s="18">
        <v>112478</v>
      </c>
      <c r="M36" s="9"/>
      <c r="U36" s="2">
        <v>1977</v>
      </c>
      <c r="V36" s="2">
        <v>7</v>
      </c>
      <c r="W36" s="16">
        <f t="shared" si="2"/>
        <v>659833</v>
      </c>
      <c r="X36" s="64">
        <v>591296</v>
      </c>
      <c r="Y36" s="64">
        <v>64761</v>
      </c>
      <c r="Z36" s="23">
        <v>1652</v>
      </c>
      <c r="AA36" s="23">
        <v>1695</v>
      </c>
      <c r="AB36" s="23">
        <v>287</v>
      </c>
      <c r="AC36" s="23">
        <v>112</v>
      </c>
      <c r="AD36" s="23">
        <v>30</v>
      </c>
      <c r="AE36" s="20">
        <f t="shared" si="4"/>
        <v>142</v>
      </c>
      <c r="AF36" s="20">
        <f t="shared" si="3"/>
        <v>659691</v>
      </c>
    </row>
    <row r="37" spans="1:32">
      <c r="A37" s="2">
        <v>1977</v>
      </c>
      <c r="B37" s="2">
        <v>8</v>
      </c>
      <c r="C37" s="16">
        <f t="shared" si="0"/>
        <v>1465817</v>
      </c>
      <c r="D37" s="17">
        <v>606731</v>
      </c>
      <c r="E37" s="17">
        <v>326355</v>
      </c>
      <c r="F37" s="18">
        <v>236362</v>
      </c>
      <c r="G37" s="18">
        <v>132025</v>
      </c>
      <c r="H37" s="19">
        <f t="shared" si="1"/>
        <v>104337</v>
      </c>
      <c r="I37" s="18">
        <v>8023</v>
      </c>
      <c r="J37" s="18">
        <v>32626</v>
      </c>
      <c r="K37" s="18">
        <v>145346</v>
      </c>
      <c r="L37" s="18">
        <v>110374</v>
      </c>
      <c r="M37" s="9"/>
      <c r="U37" s="2">
        <v>1977</v>
      </c>
      <c r="V37" s="2">
        <v>8</v>
      </c>
      <c r="W37" s="16">
        <f t="shared" si="2"/>
        <v>661000</v>
      </c>
      <c r="X37" s="64">
        <v>592289</v>
      </c>
      <c r="Y37" s="64">
        <v>64924</v>
      </c>
      <c r="Z37" s="23">
        <v>1666</v>
      </c>
      <c r="AA37" s="23">
        <v>1695</v>
      </c>
      <c r="AB37" s="23">
        <v>285</v>
      </c>
      <c r="AC37" s="23">
        <v>111</v>
      </c>
      <c r="AD37" s="23">
        <v>30</v>
      </c>
      <c r="AE37" s="20">
        <f t="shared" si="4"/>
        <v>141</v>
      </c>
      <c r="AF37" s="20">
        <f t="shared" si="3"/>
        <v>660859</v>
      </c>
    </row>
    <row r="38" spans="1:32">
      <c r="A38" s="2">
        <v>1977</v>
      </c>
      <c r="B38" s="2">
        <v>9</v>
      </c>
      <c r="C38" s="16">
        <f t="shared" si="0"/>
        <v>1534845</v>
      </c>
      <c r="D38" s="17">
        <v>619594</v>
      </c>
      <c r="E38" s="17">
        <v>338958</v>
      </c>
      <c r="F38" s="18">
        <v>240775</v>
      </c>
      <c r="G38" s="18">
        <v>126376</v>
      </c>
      <c r="H38" s="19">
        <f t="shared" si="1"/>
        <v>114399</v>
      </c>
      <c r="I38" s="18">
        <v>8050</v>
      </c>
      <c r="J38" s="18">
        <v>35364</v>
      </c>
      <c r="K38" s="18">
        <v>159467</v>
      </c>
      <c r="L38" s="18">
        <v>132637</v>
      </c>
      <c r="M38" s="9"/>
      <c r="U38" s="2">
        <v>1977</v>
      </c>
      <c r="V38" s="2">
        <v>9</v>
      </c>
      <c r="W38" s="16">
        <f t="shared" si="2"/>
        <v>664383</v>
      </c>
      <c r="X38" s="64">
        <v>595327</v>
      </c>
      <c r="Y38" s="64">
        <v>65267</v>
      </c>
      <c r="Z38" s="23">
        <v>1668</v>
      </c>
      <c r="AA38" s="23">
        <v>1696</v>
      </c>
      <c r="AB38" s="23">
        <v>284</v>
      </c>
      <c r="AC38" s="23">
        <v>111</v>
      </c>
      <c r="AD38" s="23">
        <v>30</v>
      </c>
      <c r="AE38" s="20">
        <f t="shared" si="4"/>
        <v>141</v>
      </c>
      <c r="AF38" s="20">
        <f t="shared" si="3"/>
        <v>664242</v>
      </c>
    </row>
    <row r="39" spans="1:32">
      <c r="A39" s="2">
        <v>1977</v>
      </c>
      <c r="B39" s="2">
        <v>10</v>
      </c>
      <c r="C39" s="16">
        <f t="shared" si="0"/>
        <v>1352617</v>
      </c>
      <c r="D39" s="17">
        <v>549579</v>
      </c>
      <c r="E39" s="17">
        <v>314792</v>
      </c>
      <c r="F39" s="18">
        <v>232830</v>
      </c>
      <c r="G39" s="18">
        <v>122674</v>
      </c>
      <c r="H39" s="19">
        <f t="shared" si="1"/>
        <v>110156</v>
      </c>
      <c r="I39" s="18">
        <v>8080</v>
      </c>
      <c r="J39" s="18">
        <v>31594</v>
      </c>
      <c r="K39" s="18">
        <v>127754</v>
      </c>
      <c r="L39" s="18">
        <v>87988</v>
      </c>
      <c r="M39" s="9"/>
      <c r="U39" s="2">
        <v>1977</v>
      </c>
      <c r="V39" s="2">
        <v>10</v>
      </c>
      <c r="W39" s="16">
        <f t="shared" si="2"/>
        <v>669754</v>
      </c>
      <c r="X39" s="64">
        <v>600358</v>
      </c>
      <c r="Y39" s="64">
        <v>65600</v>
      </c>
      <c r="Z39" s="23">
        <v>1675</v>
      </c>
      <c r="AA39" s="23">
        <v>1695</v>
      </c>
      <c r="AB39" s="23">
        <v>285</v>
      </c>
      <c r="AC39" s="23">
        <v>111</v>
      </c>
      <c r="AD39" s="23">
        <v>30</v>
      </c>
      <c r="AE39" s="20">
        <f t="shared" si="4"/>
        <v>141</v>
      </c>
      <c r="AF39" s="20">
        <f t="shared" si="3"/>
        <v>669613</v>
      </c>
    </row>
    <row r="40" spans="1:32">
      <c r="A40" s="2">
        <v>1977</v>
      </c>
      <c r="B40" s="2">
        <v>11</v>
      </c>
      <c r="C40" s="16">
        <f t="shared" si="0"/>
        <v>1118455</v>
      </c>
      <c r="D40" s="17">
        <v>388266</v>
      </c>
      <c r="E40" s="17">
        <v>268616</v>
      </c>
      <c r="F40" s="18">
        <v>235724</v>
      </c>
      <c r="G40" s="18">
        <v>125494</v>
      </c>
      <c r="H40" s="19">
        <f t="shared" si="1"/>
        <v>110230</v>
      </c>
      <c r="I40" s="18">
        <v>8083</v>
      </c>
      <c r="J40" s="18">
        <v>31730</v>
      </c>
      <c r="K40" s="18">
        <v>107361</v>
      </c>
      <c r="L40" s="18">
        <v>78675</v>
      </c>
      <c r="M40" s="9"/>
      <c r="U40" s="2">
        <v>1977</v>
      </c>
      <c r="V40" s="2">
        <v>11</v>
      </c>
      <c r="W40" s="16">
        <f t="shared" si="2"/>
        <v>680815</v>
      </c>
      <c r="X40" s="64">
        <v>610959</v>
      </c>
      <c r="Y40" s="64">
        <v>66031</v>
      </c>
      <c r="Z40" s="23">
        <v>1700</v>
      </c>
      <c r="AA40" s="23">
        <v>1700</v>
      </c>
      <c r="AB40" s="23">
        <v>285</v>
      </c>
      <c r="AC40" s="23">
        <v>111</v>
      </c>
      <c r="AD40" s="23">
        <v>29</v>
      </c>
      <c r="AE40" s="20">
        <f t="shared" si="4"/>
        <v>140</v>
      </c>
      <c r="AF40" s="20">
        <f t="shared" si="3"/>
        <v>680675</v>
      </c>
    </row>
    <row r="41" spans="1:32">
      <c r="A41" s="2">
        <v>1977</v>
      </c>
      <c r="B41" s="2">
        <v>12</v>
      </c>
      <c r="C41" s="16">
        <f t="shared" si="0"/>
        <v>1142140</v>
      </c>
      <c r="D41" s="17">
        <v>436498</v>
      </c>
      <c r="E41" s="17">
        <v>259112</v>
      </c>
      <c r="F41" s="18">
        <v>234467</v>
      </c>
      <c r="G41" s="18">
        <v>123243</v>
      </c>
      <c r="H41" s="19">
        <f t="shared" si="1"/>
        <v>111224</v>
      </c>
      <c r="I41" s="18">
        <v>8114</v>
      </c>
      <c r="J41" s="18">
        <v>30048</v>
      </c>
      <c r="K41" s="18">
        <v>101177</v>
      </c>
      <c r="L41" s="18">
        <v>72724</v>
      </c>
      <c r="M41" s="9"/>
      <c r="U41" s="2">
        <v>1977</v>
      </c>
      <c r="V41" s="2">
        <v>12</v>
      </c>
      <c r="W41" s="16">
        <f t="shared" si="2"/>
        <v>690256</v>
      </c>
      <c r="X41" s="64">
        <v>620045</v>
      </c>
      <c r="Y41" s="64">
        <v>66381</v>
      </c>
      <c r="Z41" s="23">
        <v>1705</v>
      </c>
      <c r="AA41" s="23">
        <v>1703</v>
      </c>
      <c r="AB41" s="23">
        <v>284</v>
      </c>
      <c r="AC41" s="23">
        <v>109</v>
      </c>
      <c r="AD41" s="23">
        <v>29</v>
      </c>
      <c r="AE41" s="20">
        <f t="shared" si="4"/>
        <v>138</v>
      </c>
      <c r="AF41" s="20">
        <f t="shared" si="3"/>
        <v>690118</v>
      </c>
    </row>
    <row r="42" spans="1:32">
      <c r="A42" s="2">
        <v>1978</v>
      </c>
      <c r="B42" s="2">
        <v>1</v>
      </c>
      <c r="C42" s="16">
        <f t="shared" si="0"/>
        <v>1478779</v>
      </c>
      <c r="D42" s="17">
        <v>671597</v>
      </c>
      <c r="E42" s="17">
        <v>280328</v>
      </c>
      <c r="F42" s="18">
        <v>238050</v>
      </c>
      <c r="G42" s="18">
        <v>122842</v>
      </c>
      <c r="H42" s="19">
        <f t="shared" si="1"/>
        <v>115208</v>
      </c>
      <c r="I42" s="18">
        <v>8120</v>
      </c>
      <c r="J42" s="18">
        <v>29672</v>
      </c>
      <c r="K42" s="18">
        <v>158450</v>
      </c>
      <c r="L42" s="18">
        <v>92562</v>
      </c>
      <c r="M42" s="9"/>
      <c r="U42" s="2">
        <v>1978</v>
      </c>
      <c r="V42" s="2">
        <v>1</v>
      </c>
      <c r="W42" s="16">
        <f t="shared" si="2"/>
        <v>697061</v>
      </c>
      <c r="X42" s="64">
        <v>626754</v>
      </c>
      <c r="Y42" s="64">
        <v>66462</v>
      </c>
      <c r="Z42" s="23">
        <v>1713</v>
      </c>
      <c r="AA42" s="23">
        <v>1709</v>
      </c>
      <c r="AB42" s="23">
        <v>284</v>
      </c>
      <c r="AC42" s="23">
        <v>110</v>
      </c>
      <c r="AD42" s="23">
        <v>29</v>
      </c>
      <c r="AE42" s="20">
        <f t="shared" si="4"/>
        <v>139</v>
      </c>
      <c r="AF42" s="20">
        <f t="shared" si="3"/>
        <v>696922</v>
      </c>
    </row>
    <row r="43" spans="1:32">
      <c r="A43" s="2">
        <v>1978</v>
      </c>
      <c r="B43" s="2">
        <v>2</v>
      </c>
      <c r="C43" s="16">
        <f t="shared" si="0"/>
        <v>1570653</v>
      </c>
      <c r="D43" s="17">
        <v>737930</v>
      </c>
      <c r="E43" s="17">
        <v>288295</v>
      </c>
      <c r="F43" s="18">
        <v>240487</v>
      </c>
      <c r="G43" s="18">
        <v>120371</v>
      </c>
      <c r="H43" s="19">
        <f t="shared" si="1"/>
        <v>120116</v>
      </c>
      <c r="I43" s="18">
        <v>8235</v>
      </c>
      <c r="J43" s="18">
        <v>29540</v>
      </c>
      <c r="K43" s="18">
        <v>172583</v>
      </c>
      <c r="L43" s="18">
        <v>93583</v>
      </c>
      <c r="M43" s="9"/>
      <c r="U43" s="2">
        <v>1978</v>
      </c>
      <c r="V43" s="2">
        <v>2</v>
      </c>
      <c r="W43" s="16">
        <f t="shared" si="2"/>
        <v>702019</v>
      </c>
      <c r="X43" s="64">
        <v>631272</v>
      </c>
      <c r="Y43" s="64">
        <v>66888</v>
      </c>
      <c r="Z43" s="23">
        <v>1725</v>
      </c>
      <c r="AA43" s="23">
        <v>1713</v>
      </c>
      <c r="AB43" s="23">
        <v>284</v>
      </c>
      <c r="AC43" s="23">
        <v>108</v>
      </c>
      <c r="AD43" s="23">
        <v>29</v>
      </c>
      <c r="AE43" s="20">
        <f t="shared" si="4"/>
        <v>137</v>
      </c>
      <c r="AF43" s="20">
        <f t="shared" si="3"/>
        <v>701882</v>
      </c>
    </row>
    <row r="44" spans="1:32">
      <c r="A44" s="2">
        <v>1978</v>
      </c>
      <c r="B44" s="2">
        <v>3</v>
      </c>
      <c r="C44" s="16">
        <f t="shared" si="0"/>
        <v>1461987</v>
      </c>
      <c r="D44" s="17">
        <v>647353</v>
      </c>
      <c r="E44" s="17">
        <v>277511</v>
      </c>
      <c r="F44" s="18">
        <v>243719</v>
      </c>
      <c r="G44" s="18">
        <v>126218</v>
      </c>
      <c r="H44" s="19">
        <f t="shared" si="1"/>
        <v>117501</v>
      </c>
      <c r="I44" s="18">
        <v>8215</v>
      </c>
      <c r="J44" s="18">
        <v>30973</v>
      </c>
      <c r="K44" s="18">
        <v>162532</v>
      </c>
      <c r="L44" s="18">
        <v>91684</v>
      </c>
      <c r="M44" s="9"/>
      <c r="U44" s="2">
        <v>1978</v>
      </c>
      <c r="V44" s="2">
        <v>3</v>
      </c>
      <c r="W44" s="16">
        <f t="shared" si="2"/>
        <v>703996</v>
      </c>
      <c r="X44" s="64">
        <v>632955</v>
      </c>
      <c r="Y44" s="64">
        <v>67167</v>
      </c>
      <c r="Z44" s="23">
        <v>1731</v>
      </c>
      <c r="AA44" s="23">
        <v>1719</v>
      </c>
      <c r="AB44" s="23">
        <v>285</v>
      </c>
      <c r="AC44" s="23">
        <v>110</v>
      </c>
      <c r="AD44" s="23">
        <v>29</v>
      </c>
      <c r="AE44" s="20">
        <f t="shared" si="4"/>
        <v>139</v>
      </c>
      <c r="AF44" s="20">
        <f t="shared" si="3"/>
        <v>703857</v>
      </c>
    </row>
    <row r="45" spans="1:32">
      <c r="A45" s="2">
        <v>1978</v>
      </c>
      <c r="B45" s="2">
        <v>4</v>
      </c>
      <c r="C45" s="16">
        <f t="shared" si="0"/>
        <v>1226588</v>
      </c>
      <c r="D45" s="17">
        <v>446946</v>
      </c>
      <c r="E45" s="17">
        <v>282604</v>
      </c>
      <c r="F45" s="18">
        <v>237174</v>
      </c>
      <c r="G45" s="18">
        <v>116659</v>
      </c>
      <c r="H45" s="19">
        <f t="shared" si="1"/>
        <v>120515</v>
      </c>
      <c r="I45" s="18">
        <v>8227</v>
      </c>
      <c r="J45" s="18">
        <v>33671</v>
      </c>
      <c r="K45" s="18">
        <v>125429</v>
      </c>
      <c r="L45" s="18">
        <v>92537</v>
      </c>
      <c r="M45" s="9"/>
      <c r="U45" s="2">
        <v>1978</v>
      </c>
      <c r="V45" s="2">
        <v>4</v>
      </c>
      <c r="W45" s="16">
        <f t="shared" si="2"/>
        <v>699925</v>
      </c>
      <c r="X45" s="64">
        <v>628517</v>
      </c>
      <c r="Y45" s="64">
        <v>67517</v>
      </c>
      <c r="Z45" s="23">
        <v>1744</v>
      </c>
      <c r="AA45" s="23">
        <v>1723</v>
      </c>
      <c r="AB45" s="23">
        <v>286</v>
      </c>
      <c r="AC45" s="23">
        <v>109</v>
      </c>
      <c r="AD45" s="23">
        <v>29</v>
      </c>
      <c r="AE45" s="20">
        <f t="shared" si="4"/>
        <v>138</v>
      </c>
      <c r="AF45" s="20">
        <f t="shared" si="3"/>
        <v>699787</v>
      </c>
    </row>
    <row r="46" spans="1:32">
      <c r="A46" s="2">
        <v>1978</v>
      </c>
      <c r="B46" s="2">
        <v>5</v>
      </c>
      <c r="C46" s="16">
        <f t="shared" si="0"/>
        <v>1205011</v>
      </c>
      <c r="D46" s="17">
        <v>398448</v>
      </c>
      <c r="E46" s="17">
        <v>296956</v>
      </c>
      <c r="F46" s="18">
        <v>252051</v>
      </c>
      <c r="G46" s="18">
        <v>129780</v>
      </c>
      <c r="H46" s="19">
        <f t="shared" si="1"/>
        <v>122271</v>
      </c>
      <c r="I46" s="18">
        <v>8265</v>
      </c>
      <c r="J46" s="18">
        <v>33737</v>
      </c>
      <c r="K46" s="18">
        <v>115124</v>
      </c>
      <c r="L46" s="18">
        <v>100430</v>
      </c>
      <c r="M46" s="9"/>
      <c r="U46" s="2">
        <v>1978</v>
      </c>
      <c r="V46" s="2">
        <v>5</v>
      </c>
      <c r="W46" s="16">
        <f t="shared" si="2"/>
        <v>700117</v>
      </c>
      <c r="X46" s="64">
        <v>627930</v>
      </c>
      <c r="Y46" s="64">
        <v>68214</v>
      </c>
      <c r="Z46" s="23">
        <v>1796</v>
      </c>
      <c r="AA46" s="23">
        <v>1753</v>
      </c>
      <c r="AB46" s="23">
        <v>287</v>
      </c>
      <c r="AC46" s="23">
        <v>108</v>
      </c>
      <c r="AD46" s="23">
        <v>29</v>
      </c>
      <c r="AE46" s="20">
        <f t="shared" si="4"/>
        <v>137</v>
      </c>
      <c r="AF46" s="20">
        <f t="shared" si="3"/>
        <v>699980</v>
      </c>
    </row>
    <row r="47" spans="1:32">
      <c r="A47" s="2">
        <v>1978</v>
      </c>
      <c r="B47" s="2">
        <v>6</v>
      </c>
      <c r="C47" s="16">
        <f t="shared" si="0"/>
        <v>1465519</v>
      </c>
      <c r="D47" s="17">
        <v>562797</v>
      </c>
      <c r="E47" s="17">
        <v>343343</v>
      </c>
      <c r="F47" s="18">
        <v>256602</v>
      </c>
      <c r="G47" s="18">
        <v>122340</v>
      </c>
      <c r="H47" s="19">
        <f t="shared" si="1"/>
        <v>134262</v>
      </c>
      <c r="I47" s="18">
        <v>8244</v>
      </c>
      <c r="J47" s="18">
        <v>38069</v>
      </c>
      <c r="K47" s="18">
        <v>135958</v>
      </c>
      <c r="L47" s="18">
        <v>120506</v>
      </c>
      <c r="M47" s="9"/>
      <c r="U47" s="2">
        <v>1978</v>
      </c>
      <c r="V47" s="2">
        <v>6</v>
      </c>
      <c r="W47" s="16">
        <f t="shared" si="2"/>
        <v>689309</v>
      </c>
      <c r="X47" s="64">
        <v>617538</v>
      </c>
      <c r="Y47" s="64">
        <v>67808</v>
      </c>
      <c r="Z47" s="23">
        <v>1811</v>
      </c>
      <c r="AA47" s="23">
        <v>1728</v>
      </c>
      <c r="AB47" s="23">
        <v>285</v>
      </c>
      <c r="AC47" s="23">
        <v>110</v>
      </c>
      <c r="AD47" s="23">
        <v>29</v>
      </c>
      <c r="AE47" s="20">
        <f t="shared" si="4"/>
        <v>139</v>
      </c>
      <c r="AF47" s="20">
        <f t="shared" si="3"/>
        <v>689170</v>
      </c>
    </row>
    <row r="48" spans="1:32">
      <c r="A48" s="2">
        <v>1978</v>
      </c>
      <c r="B48" s="2">
        <v>7</v>
      </c>
      <c r="C48" s="16">
        <f t="shared" si="0"/>
        <v>1607883</v>
      </c>
      <c r="D48" s="17">
        <v>661620</v>
      </c>
      <c r="E48" s="17">
        <v>364423</v>
      </c>
      <c r="F48" s="18">
        <v>243894</v>
      </c>
      <c r="G48" s="18">
        <v>119675</v>
      </c>
      <c r="H48" s="19">
        <f t="shared" si="1"/>
        <v>124219</v>
      </c>
      <c r="I48" s="18">
        <v>8231</v>
      </c>
      <c r="J48" s="18">
        <v>37107</v>
      </c>
      <c r="K48" s="18">
        <v>162839</v>
      </c>
      <c r="L48" s="18">
        <v>129769</v>
      </c>
      <c r="M48" s="9"/>
      <c r="U48" s="2">
        <v>1978</v>
      </c>
      <c r="V48" s="2">
        <v>7</v>
      </c>
      <c r="W48" s="16">
        <f t="shared" si="2"/>
        <v>679003</v>
      </c>
      <c r="X48" s="64">
        <v>607532</v>
      </c>
      <c r="Y48" s="64">
        <v>67565</v>
      </c>
      <c r="Z48" s="23">
        <v>1768</v>
      </c>
      <c r="AA48" s="23">
        <v>1713</v>
      </c>
      <c r="AB48" s="23">
        <v>285</v>
      </c>
      <c r="AC48" s="23">
        <v>111</v>
      </c>
      <c r="AD48" s="23">
        <v>29</v>
      </c>
      <c r="AE48" s="20">
        <f t="shared" si="4"/>
        <v>140</v>
      </c>
      <c r="AF48" s="20">
        <f t="shared" si="3"/>
        <v>678863</v>
      </c>
    </row>
    <row r="49" spans="1:32">
      <c r="A49" s="2">
        <v>1978</v>
      </c>
      <c r="B49" s="2">
        <v>8</v>
      </c>
      <c r="C49" s="16">
        <f t="shared" si="0"/>
        <v>1525456</v>
      </c>
      <c r="D49" s="17">
        <v>619494</v>
      </c>
      <c r="E49" s="17">
        <v>338127</v>
      </c>
      <c r="F49" s="18">
        <v>238962</v>
      </c>
      <c r="G49" s="18">
        <v>129828</v>
      </c>
      <c r="H49" s="19">
        <f t="shared" si="1"/>
        <v>109134</v>
      </c>
      <c r="I49" s="18">
        <v>8183</v>
      </c>
      <c r="J49" s="18">
        <v>34021</v>
      </c>
      <c r="K49" s="18">
        <v>157274</v>
      </c>
      <c r="L49" s="18">
        <v>129395</v>
      </c>
      <c r="M49" s="9"/>
      <c r="U49" s="2">
        <v>1978</v>
      </c>
      <c r="V49" s="2">
        <v>8</v>
      </c>
      <c r="W49" s="16">
        <f t="shared" si="2"/>
        <v>691932</v>
      </c>
      <c r="X49" s="64">
        <v>619737</v>
      </c>
      <c r="Y49" s="64">
        <v>68226</v>
      </c>
      <c r="Z49" s="23">
        <v>1812</v>
      </c>
      <c r="AA49" s="23">
        <v>1733</v>
      </c>
      <c r="AB49" s="23">
        <v>284</v>
      </c>
      <c r="AC49" s="23">
        <v>111</v>
      </c>
      <c r="AD49" s="23">
        <v>29</v>
      </c>
      <c r="AE49" s="20">
        <f t="shared" si="4"/>
        <v>140</v>
      </c>
      <c r="AF49" s="20">
        <f t="shared" si="3"/>
        <v>691792</v>
      </c>
    </row>
    <row r="50" spans="1:32">
      <c r="A50" s="2">
        <v>1978</v>
      </c>
      <c r="B50" s="2">
        <v>9</v>
      </c>
      <c r="C50" s="16">
        <f t="shared" si="0"/>
        <v>1693397</v>
      </c>
      <c r="D50" s="17">
        <v>713899</v>
      </c>
      <c r="E50" s="17">
        <v>373915</v>
      </c>
      <c r="F50" s="18">
        <v>242176</v>
      </c>
      <c r="G50" s="18">
        <v>122533</v>
      </c>
      <c r="H50" s="19">
        <f t="shared" si="1"/>
        <v>119643</v>
      </c>
      <c r="I50" s="18">
        <v>8189</v>
      </c>
      <c r="J50" s="18">
        <v>36747</v>
      </c>
      <c r="K50" s="18">
        <v>177115</v>
      </c>
      <c r="L50" s="18">
        <v>141356</v>
      </c>
      <c r="M50" s="9"/>
      <c r="U50" s="2">
        <v>1978</v>
      </c>
      <c r="V50" s="2">
        <v>9</v>
      </c>
      <c r="W50" s="16">
        <f t="shared" si="2"/>
        <v>695517</v>
      </c>
      <c r="X50" s="64">
        <v>623023</v>
      </c>
      <c r="Y50" s="64">
        <v>68487</v>
      </c>
      <c r="Z50" s="23">
        <v>1841</v>
      </c>
      <c r="AA50" s="23">
        <v>1741</v>
      </c>
      <c r="AB50" s="23">
        <v>285</v>
      </c>
      <c r="AC50" s="23">
        <v>111</v>
      </c>
      <c r="AD50" s="23">
        <v>29</v>
      </c>
      <c r="AE50" s="20">
        <f t="shared" si="4"/>
        <v>140</v>
      </c>
      <c r="AF50" s="20">
        <f t="shared" si="3"/>
        <v>695377</v>
      </c>
    </row>
    <row r="51" spans="1:32">
      <c r="A51" s="2">
        <v>1978</v>
      </c>
      <c r="B51" s="2">
        <v>10</v>
      </c>
      <c r="C51" s="16">
        <f t="shared" si="0"/>
        <v>1432065</v>
      </c>
      <c r="D51" s="17">
        <v>558333</v>
      </c>
      <c r="E51" s="17">
        <v>333266</v>
      </c>
      <c r="F51" s="18">
        <v>246514</v>
      </c>
      <c r="G51" s="18">
        <v>133651</v>
      </c>
      <c r="H51" s="19">
        <f t="shared" si="1"/>
        <v>112863</v>
      </c>
      <c r="I51" s="18">
        <v>8201</v>
      </c>
      <c r="J51" s="18">
        <v>33514</v>
      </c>
      <c r="K51" s="18">
        <v>150673</v>
      </c>
      <c r="L51" s="18">
        <v>101564</v>
      </c>
      <c r="M51" s="9"/>
      <c r="U51" s="2">
        <v>1978</v>
      </c>
      <c r="V51" s="2">
        <v>10</v>
      </c>
      <c r="W51" s="16">
        <f t="shared" si="2"/>
        <v>701601</v>
      </c>
      <c r="X51" s="64">
        <v>628656</v>
      </c>
      <c r="Y51" s="64">
        <v>68927</v>
      </c>
      <c r="Z51" s="23">
        <v>1849</v>
      </c>
      <c r="AA51" s="23">
        <v>1744</v>
      </c>
      <c r="AB51" s="23">
        <v>285</v>
      </c>
      <c r="AC51" s="23">
        <v>111</v>
      </c>
      <c r="AD51" s="23">
        <v>29</v>
      </c>
      <c r="AE51" s="20">
        <f t="shared" si="4"/>
        <v>140</v>
      </c>
      <c r="AF51" s="20">
        <f t="shared" si="3"/>
        <v>701461</v>
      </c>
    </row>
    <row r="52" spans="1:32">
      <c r="A52" s="2">
        <v>1978</v>
      </c>
      <c r="B52" s="2">
        <v>11</v>
      </c>
      <c r="C52" s="16">
        <f t="shared" si="0"/>
        <v>1140496</v>
      </c>
      <c r="D52" s="17">
        <v>389558</v>
      </c>
      <c r="E52" s="17">
        <v>289362</v>
      </c>
      <c r="F52" s="18">
        <v>244134</v>
      </c>
      <c r="G52" s="18">
        <v>129753</v>
      </c>
      <c r="H52" s="19">
        <f t="shared" si="1"/>
        <v>114381</v>
      </c>
      <c r="I52" s="18">
        <v>8257</v>
      </c>
      <c r="J52" s="18">
        <v>32319</v>
      </c>
      <c r="K52" s="18">
        <v>113479</v>
      </c>
      <c r="L52" s="18">
        <v>63387</v>
      </c>
      <c r="M52" s="9"/>
      <c r="U52" s="2">
        <v>1978</v>
      </c>
      <c r="V52" s="2">
        <v>11</v>
      </c>
      <c r="W52" s="16">
        <f t="shared" si="2"/>
        <v>712781</v>
      </c>
      <c r="X52" s="64">
        <v>639376</v>
      </c>
      <c r="Y52" s="64">
        <v>69344</v>
      </c>
      <c r="Z52" s="23">
        <v>1869</v>
      </c>
      <c r="AA52" s="23">
        <v>1756</v>
      </c>
      <c r="AB52" s="23">
        <v>299</v>
      </c>
      <c r="AC52" s="23">
        <v>108</v>
      </c>
      <c r="AD52" s="23">
        <v>29</v>
      </c>
      <c r="AE52" s="20">
        <f t="shared" si="4"/>
        <v>137</v>
      </c>
      <c r="AF52" s="20">
        <f t="shared" si="3"/>
        <v>712644</v>
      </c>
    </row>
    <row r="53" spans="1:32">
      <c r="A53" s="2">
        <v>1978</v>
      </c>
      <c r="B53" s="2">
        <v>12</v>
      </c>
      <c r="C53" s="16">
        <f t="shared" si="0"/>
        <v>1238904</v>
      </c>
      <c r="D53" s="17">
        <v>430934</v>
      </c>
      <c r="E53" s="17">
        <v>298062</v>
      </c>
      <c r="F53" s="18">
        <v>258302</v>
      </c>
      <c r="G53" s="18">
        <v>133044</v>
      </c>
      <c r="H53" s="19">
        <f t="shared" si="1"/>
        <v>125258</v>
      </c>
      <c r="I53" s="18">
        <v>8396</v>
      </c>
      <c r="J53" s="18">
        <v>34325</v>
      </c>
      <c r="K53" s="18">
        <v>123234</v>
      </c>
      <c r="L53" s="18">
        <v>85651</v>
      </c>
      <c r="M53" s="9"/>
      <c r="U53" s="2">
        <v>1978</v>
      </c>
      <c r="V53" s="2">
        <v>12</v>
      </c>
      <c r="W53" s="16">
        <f t="shared" si="2"/>
        <v>722868</v>
      </c>
      <c r="X53" s="64">
        <v>649043</v>
      </c>
      <c r="Y53" s="64">
        <v>69736</v>
      </c>
      <c r="Z53" s="23">
        <v>1885</v>
      </c>
      <c r="AA53" s="23">
        <v>1768</v>
      </c>
      <c r="AB53" s="23">
        <v>299</v>
      </c>
      <c r="AC53" s="23">
        <v>108</v>
      </c>
      <c r="AD53" s="23">
        <v>29</v>
      </c>
      <c r="AE53" s="20">
        <f t="shared" si="4"/>
        <v>137</v>
      </c>
      <c r="AF53" s="20">
        <f t="shared" si="3"/>
        <v>722731</v>
      </c>
    </row>
    <row r="54" spans="1:32">
      <c r="A54" s="2">
        <v>1979</v>
      </c>
      <c r="B54" s="2">
        <v>1</v>
      </c>
      <c r="C54" s="16">
        <f t="shared" si="0"/>
        <v>1444134</v>
      </c>
      <c r="D54" s="17">
        <v>606427</v>
      </c>
      <c r="E54" s="17">
        <v>292491</v>
      </c>
      <c r="F54" s="18">
        <v>258717</v>
      </c>
      <c r="G54" s="18">
        <v>130158</v>
      </c>
      <c r="H54" s="19">
        <f t="shared" si="1"/>
        <v>128559</v>
      </c>
      <c r="I54" s="18">
        <v>8347</v>
      </c>
      <c r="J54" s="18">
        <v>31674</v>
      </c>
      <c r="K54" s="18">
        <v>152867</v>
      </c>
      <c r="L54" s="18">
        <v>93611</v>
      </c>
      <c r="M54" s="9"/>
      <c r="R54" s="23">
        <v>1716333</v>
      </c>
      <c r="U54" s="2">
        <v>1979</v>
      </c>
      <c r="V54" s="2">
        <v>1</v>
      </c>
      <c r="W54" s="16">
        <f t="shared" si="2"/>
        <v>730279</v>
      </c>
      <c r="X54" s="64">
        <v>656127</v>
      </c>
      <c r="Y54" s="64">
        <v>70051</v>
      </c>
      <c r="Z54" s="23">
        <v>1886</v>
      </c>
      <c r="AA54" s="23">
        <v>1774</v>
      </c>
      <c r="AB54" s="23">
        <v>302</v>
      </c>
      <c r="AC54" s="23">
        <v>110</v>
      </c>
      <c r="AD54" s="23">
        <v>29</v>
      </c>
      <c r="AE54" s="20">
        <f t="shared" si="4"/>
        <v>139</v>
      </c>
      <c r="AF54" s="20">
        <f t="shared" si="3"/>
        <v>730140</v>
      </c>
    </row>
    <row r="55" spans="1:32">
      <c r="A55" s="2">
        <v>1979</v>
      </c>
      <c r="B55" s="2">
        <v>2</v>
      </c>
      <c r="C55" s="16">
        <f t="shared" si="0"/>
        <v>1537117</v>
      </c>
      <c r="D55" s="17">
        <v>685547</v>
      </c>
      <c r="E55" s="17">
        <v>283734</v>
      </c>
      <c r="F55" s="18">
        <v>263177</v>
      </c>
      <c r="G55" s="18">
        <v>132916</v>
      </c>
      <c r="H55" s="19">
        <f t="shared" si="1"/>
        <v>130261</v>
      </c>
      <c r="I55" s="18">
        <v>8466</v>
      </c>
      <c r="J55" s="18">
        <v>31197</v>
      </c>
      <c r="K55" s="18">
        <v>168863</v>
      </c>
      <c r="L55" s="18">
        <v>96133</v>
      </c>
      <c r="M55" s="9"/>
      <c r="R55" s="23">
        <v>1525150</v>
      </c>
      <c r="U55" s="2">
        <v>1979</v>
      </c>
      <c r="V55" s="2">
        <v>2</v>
      </c>
      <c r="W55" s="16">
        <f t="shared" si="2"/>
        <v>735301</v>
      </c>
      <c r="X55" s="64">
        <v>660773</v>
      </c>
      <c r="Y55" s="64">
        <v>70412</v>
      </c>
      <c r="Z55" s="23">
        <v>1893</v>
      </c>
      <c r="AA55" s="23">
        <v>1780</v>
      </c>
      <c r="AB55" s="23">
        <v>302</v>
      </c>
      <c r="AC55" s="23">
        <v>112</v>
      </c>
      <c r="AD55" s="23">
        <v>29</v>
      </c>
      <c r="AE55" s="20">
        <f t="shared" si="4"/>
        <v>141</v>
      </c>
      <c r="AF55" s="20">
        <f t="shared" si="3"/>
        <v>735160</v>
      </c>
    </row>
    <row r="56" spans="1:32">
      <c r="A56" s="2">
        <v>1979</v>
      </c>
      <c r="B56" s="2">
        <v>3</v>
      </c>
      <c r="C56" s="16">
        <f t="shared" si="0"/>
        <v>1371441</v>
      </c>
      <c r="D56" s="17">
        <v>561219</v>
      </c>
      <c r="E56" s="17">
        <v>279307</v>
      </c>
      <c r="F56" s="18">
        <v>255871</v>
      </c>
      <c r="G56" s="18">
        <v>129426</v>
      </c>
      <c r="H56" s="19">
        <f t="shared" si="1"/>
        <v>126445</v>
      </c>
      <c r="I56" s="18">
        <v>8461</v>
      </c>
      <c r="J56" s="18">
        <v>32055</v>
      </c>
      <c r="K56" s="18">
        <v>149956</v>
      </c>
      <c r="L56" s="18">
        <v>84572</v>
      </c>
      <c r="M56" s="9"/>
      <c r="R56" s="23">
        <v>1387630</v>
      </c>
      <c r="U56" s="2">
        <v>1979</v>
      </c>
      <c r="V56" s="2">
        <v>3</v>
      </c>
      <c r="W56" s="16">
        <f t="shared" si="2"/>
        <v>737749</v>
      </c>
      <c r="X56" s="64">
        <v>662879</v>
      </c>
      <c r="Y56" s="64">
        <v>70734</v>
      </c>
      <c r="Z56" s="23">
        <v>1904</v>
      </c>
      <c r="AA56" s="23">
        <v>1789</v>
      </c>
      <c r="AB56" s="23">
        <v>302</v>
      </c>
      <c r="AC56" s="23">
        <v>112</v>
      </c>
      <c r="AD56" s="23">
        <v>29</v>
      </c>
      <c r="AE56" s="20">
        <f t="shared" si="4"/>
        <v>141</v>
      </c>
      <c r="AF56" s="20">
        <f t="shared" si="3"/>
        <v>737608</v>
      </c>
    </row>
    <row r="57" spans="1:32">
      <c r="A57" s="2">
        <v>1979</v>
      </c>
      <c r="B57" s="2">
        <v>4</v>
      </c>
      <c r="C57" s="16">
        <f t="shared" si="0"/>
        <v>1254326</v>
      </c>
      <c r="D57" s="17">
        <v>447121</v>
      </c>
      <c r="E57" s="17">
        <v>289940</v>
      </c>
      <c r="F57" s="18">
        <v>256540</v>
      </c>
      <c r="G57" s="18">
        <v>133605</v>
      </c>
      <c r="H57" s="19">
        <f t="shared" si="1"/>
        <v>122935</v>
      </c>
      <c r="I57" s="18">
        <v>8492</v>
      </c>
      <c r="J57" s="18">
        <v>35159</v>
      </c>
      <c r="K57" s="18">
        <v>129344</v>
      </c>
      <c r="L57" s="18">
        <v>87730</v>
      </c>
      <c r="M57" s="9"/>
      <c r="R57" s="23">
        <v>1342878</v>
      </c>
      <c r="U57" s="2">
        <v>1979</v>
      </c>
      <c r="V57" s="2">
        <v>4</v>
      </c>
      <c r="W57" s="16">
        <f t="shared" si="2"/>
        <v>734370</v>
      </c>
      <c r="X57" s="64">
        <v>659255</v>
      </c>
      <c r="Y57" s="64">
        <v>70958</v>
      </c>
      <c r="Z57" s="23">
        <v>1919</v>
      </c>
      <c r="AA57" s="23">
        <v>1796</v>
      </c>
      <c r="AB57" s="23">
        <v>303</v>
      </c>
      <c r="AC57" s="23">
        <v>110</v>
      </c>
      <c r="AD57" s="23">
        <v>29</v>
      </c>
      <c r="AE57" s="20">
        <f t="shared" si="4"/>
        <v>139</v>
      </c>
      <c r="AF57" s="20">
        <f t="shared" si="3"/>
        <v>734231</v>
      </c>
    </row>
    <row r="58" spans="1:32">
      <c r="A58" s="2">
        <v>1979</v>
      </c>
      <c r="B58" s="2">
        <v>5</v>
      </c>
      <c r="C58" s="16">
        <f t="shared" si="0"/>
        <v>1298337</v>
      </c>
      <c r="D58" s="17">
        <v>446485</v>
      </c>
      <c r="E58" s="17">
        <v>324627</v>
      </c>
      <c r="F58" s="18">
        <v>268487</v>
      </c>
      <c r="G58" s="18">
        <v>138934</v>
      </c>
      <c r="H58" s="19">
        <f t="shared" si="1"/>
        <v>129553</v>
      </c>
      <c r="I58" s="18">
        <v>8478</v>
      </c>
      <c r="J58" s="18">
        <v>36965</v>
      </c>
      <c r="K58" s="18">
        <v>120036</v>
      </c>
      <c r="L58" s="18">
        <v>93259</v>
      </c>
      <c r="M58" s="9"/>
      <c r="R58" s="23">
        <v>1477388</v>
      </c>
      <c r="U58" s="2">
        <v>1979</v>
      </c>
      <c r="V58" s="2">
        <v>5</v>
      </c>
      <c r="W58" s="16">
        <f t="shared" si="2"/>
        <v>726844</v>
      </c>
      <c r="X58" s="64">
        <v>651464</v>
      </c>
      <c r="Y58" s="64">
        <v>71200</v>
      </c>
      <c r="Z58" s="23">
        <v>1923</v>
      </c>
      <c r="AA58" s="23">
        <v>1811</v>
      </c>
      <c r="AB58" s="23">
        <v>307</v>
      </c>
      <c r="AC58" s="23">
        <v>110</v>
      </c>
      <c r="AD58" s="23">
        <v>29</v>
      </c>
      <c r="AE58" s="20">
        <f t="shared" si="4"/>
        <v>139</v>
      </c>
      <c r="AF58" s="20">
        <f t="shared" si="3"/>
        <v>726705</v>
      </c>
    </row>
    <row r="59" spans="1:32">
      <c r="A59" s="2">
        <v>1979</v>
      </c>
      <c r="B59" s="2">
        <v>6</v>
      </c>
      <c r="C59" s="16">
        <f t="shared" si="0"/>
        <v>1444278</v>
      </c>
      <c r="D59" s="17">
        <v>527560</v>
      </c>
      <c r="E59" s="17">
        <v>341175</v>
      </c>
      <c r="F59" s="18">
        <v>263421</v>
      </c>
      <c r="G59" s="18">
        <v>120114</v>
      </c>
      <c r="H59" s="19">
        <f t="shared" si="1"/>
        <v>143307</v>
      </c>
      <c r="I59" s="18">
        <v>8477</v>
      </c>
      <c r="J59" s="18">
        <v>38879</v>
      </c>
      <c r="K59" s="18">
        <v>141374</v>
      </c>
      <c r="L59" s="18">
        <v>123392</v>
      </c>
      <c r="M59" s="9"/>
      <c r="R59" s="23">
        <v>1706195</v>
      </c>
      <c r="U59" s="2">
        <v>1979</v>
      </c>
      <c r="V59" s="2">
        <v>6</v>
      </c>
      <c r="W59" s="16">
        <f t="shared" si="2"/>
        <v>725219</v>
      </c>
      <c r="X59" s="64">
        <v>649804</v>
      </c>
      <c r="Y59" s="64">
        <v>71167</v>
      </c>
      <c r="Z59" s="23">
        <v>1987</v>
      </c>
      <c r="AA59" s="23">
        <v>1815</v>
      </c>
      <c r="AB59" s="23">
        <v>307</v>
      </c>
      <c r="AC59" s="23">
        <v>110</v>
      </c>
      <c r="AD59" s="23">
        <v>29</v>
      </c>
      <c r="AE59" s="20">
        <f t="shared" si="4"/>
        <v>139</v>
      </c>
      <c r="AF59" s="20">
        <f t="shared" si="3"/>
        <v>725080</v>
      </c>
    </row>
    <row r="60" spans="1:32">
      <c r="A60" s="2">
        <v>1979</v>
      </c>
      <c r="B60" s="2">
        <v>7</v>
      </c>
      <c r="C60" s="16">
        <f t="shared" si="0"/>
        <v>1655171</v>
      </c>
      <c r="D60" s="17">
        <v>693960</v>
      </c>
      <c r="E60" s="17">
        <v>354387</v>
      </c>
      <c r="F60" s="18">
        <v>240770</v>
      </c>
      <c r="G60" s="18">
        <v>126508</v>
      </c>
      <c r="H60" s="19">
        <f t="shared" si="1"/>
        <v>114262</v>
      </c>
      <c r="I60" s="18">
        <v>8415</v>
      </c>
      <c r="J60" s="18">
        <v>52412</v>
      </c>
      <c r="K60" s="18">
        <v>177942</v>
      </c>
      <c r="L60" s="18">
        <v>127285</v>
      </c>
      <c r="M60" s="9"/>
      <c r="R60" s="23">
        <v>1876683</v>
      </c>
      <c r="U60" s="2">
        <v>1979</v>
      </c>
      <c r="V60" s="2">
        <v>7</v>
      </c>
      <c r="W60" s="16">
        <f t="shared" si="2"/>
        <v>726488</v>
      </c>
      <c r="X60" s="64">
        <v>650990</v>
      </c>
      <c r="Y60" s="64">
        <v>70170</v>
      </c>
      <c r="Z60" s="23">
        <v>2040</v>
      </c>
      <c r="AA60" s="23">
        <v>1792</v>
      </c>
      <c r="AB60" s="23">
        <v>1357</v>
      </c>
      <c r="AC60" s="23">
        <v>109</v>
      </c>
      <c r="AD60" s="23">
        <v>30</v>
      </c>
      <c r="AE60" s="20">
        <f t="shared" si="4"/>
        <v>139</v>
      </c>
      <c r="AF60" s="20">
        <f t="shared" si="3"/>
        <v>726349</v>
      </c>
    </row>
    <row r="61" spans="1:32">
      <c r="A61" s="2">
        <v>1979</v>
      </c>
      <c r="B61" s="2">
        <v>8</v>
      </c>
      <c r="C61" s="16">
        <f t="shared" si="0"/>
        <v>1749333</v>
      </c>
      <c r="D61" s="17">
        <v>745972</v>
      </c>
      <c r="E61" s="17">
        <v>336332</v>
      </c>
      <c r="F61" s="18">
        <v>268121</v>
      </c>
      <c r="G61" s="18">
        <v>147191</v>
      </c>
      <c r="H61" s="19">
        <f t="shared" si="1"/>
        <v>120930</v>
      </c>
      <c r="I61" s="18">
        <v>8412</v>
      </c>
      <c r="J61" s="18">
        <v>75479</v>
      </c>
      <c r="K61" s="18">
        <v>183882</v>
      </c>
      <c r="L61" s="18">
        <v>131135</v>
      </c>
      <c r="M61" s="9"/>
      <c r="R61" s="23">
        <v>1796725</v>
      </c>
      <c r="U61" s="2">
        <v>1979</v>
      </c>
      <c r="V61" s="2">
        <v>8</v>
      </c>
      <c r="W61" s="16">
        <f t="shared" si="2"/>
        <v>728931</v>
      </c>
      <c r="X61" s="64">
        <v>653167</v>
      </c>
      <c r="Y61" s="64">
        <v>68633</v>
      </c>
      <c r="Z61" s="23">
        <v>2066</v>
      </c>
      <c r="AA61" s="23">
        <v>1799</v>
      </c>
      <c r="AB61" s="23">
        <v>3127</v>
      </c>
      <c r="AC61" s="23">
        <v>109</v>
      </c>
      <c r="AD61" s="23">
        <v>30</v>
      </c>
      <c r="AE61" s="20">
        <f t="shared" si="4"/>
        <v>139</v>
      </c>
      <c r="AF61" s="20">
        <f t="shared" si="3"/>
        <v>728792</v>
      </c>
    </row>
    <row r="62" spans="1:32">
      <c r="A62" s="2">
        <v>1979</v>
      </c>
      <c r="B62" s="2">
        <v>9</v>
      </c>
      <c r="C62" s="16">
        <f t="shared" si="0"/>
        <v>1729118</v>
      </c>
      <c r="D62" s="17">
        <v>722005</v>
      </c>
      <c r="E62" s="17">
        <v>333627</v>
      </c>
      <c r="F62" s="18">
        <v>277984</v>
      </c>
      <c r="G62" s="18">
        <v>142645</v>
      </c>
      <c r="H62" s="19">
        <f t="shared" si="1"/>
        <v>135339</v>
      </c>
      <c r="I62" s="18">
        <v>8417</v>
      </c>
      <c r="J62" s="18">
        <v>81885</v>
      </c>
      <c r="K62" s="18">
        <v>183528</v>
      </c>
      <c r="L62" s="18">
        <v>121672</v>
      </c>
      <c r="M62" s="9"/>
      <c r="R62" s="23">
        <v>1679220</v>
      </c>
      <c r="U62" s="2">
        <v>1979</v>
      </c>
      <c r="V62" s="2">
        <v>9</v>
      </c>
      <c r="W62" s="16">
        <f t="shared" si="2"/>
        <v>732871</v>
      </c>
      <c r="X62" s="64">
        <v>656814</v>
      </c>
      <c r="Y62" s="64">
        <v>68857</v>
      </c>
      <c r="Z62" s="23">
        <v>2068</v>
      </c>
      <c r="AA62" s="23">
        <v>1805</v>
      </c>
      <c r="AB62" s="23">
        <v>3188</v>
      </c>
      <c r="AC62" s="23">
        <v>109</v>
      </c>
      <c r="AD62" s="23">
        <v>30</v>
      </c>
      <c r="AE62" s="20">
        <f t="shared" si="4"/>
        <v>139</v>
      </c>
      <c r="AF62" s="20">
        <f t="shared" si="3"/>
        <v>732732</v>
      </c>
    </row>
    <row r="63" spans="1:32">
      <c r="A63" s="2">
        <v>1979</v>
      </c>
      <c r="B63" s="2">
        <v>10</v>
      </c>
      <c r="C63" s="16">
        <f t="shared" si="0"/>
        <v>1481751</v>
      </c>
      <c r="D63" s="17">
        <v>564737</v>
      </c>
      <c r="E63" s="17">
        <v>292432</v>
      </c>
      <c r="F63" s="18">
        <v>287857</v>
      </c>
      <c r="G63" s="18">
        <v>160248</v>
      </c>
      <c r="H63" s="19">
        <f t="shared" si="1"/>
        <v>127609</v>
      </c>
      <c r="I63" s="18">
        <v>8409</v>
      </c>
      <c r="J63" s="18">
        <v>78822</v>
      </c>
      <c r="K63" s="18">
        <v>148270</v>
      </c>
      <c r="L63" s="18">
        <v>101224</v>
      </c>
      <c r="M63" s="9"/>
      <c r="R63" s="23">
        <v>1433226</v>
      </c>
      <c r="U63" s="2">
        <v>1979</v>
      </c>
      <c r="V63" s="2">
        <v>10</v>
      </c>
      <c r="W63" s="16">
        <f t="shared" si="2"/>
        <v>738611</v>
      </c>
      <c r="X63" s="64">
        <v>662190</v>
      </c>
      <c r="Y63" s="64">
        <v>69206</v>
      </c>
      <c r="Z63" s="23">
        <v>2078</v>
      </c>
      <c r="AA63" s="23">
        <v>1805</v>
      </c>
      <c r="AB63" s="23">
        <v>3194</v>
      </c>
      <c r="AC63" s="23">
        <v>108</v>
      </c>
      <c r="AD63" s="23">
        <v>30</v>
      </c>
      <c r="AE63" s="20">
        <f t="shared" si="4"/>
        <v>138</v>
      </c>
      <c r="AF63" s="20">
        <f t="shared" si="3"/>
        <v>738473</v>
      </c>
    </row>
    <row r="64" spans="1:32">
      <c r="A64" s="2">
        <v>1979</v>
      </c>
      <c r="B64" s="2">
        <v>11</v>
      </c>
      <c r="C64" s="16">
        <f t="shared" si="0"/>
        <v>1286873</v>
      </c>
      <c r="D64" s="17">
        <v>434693</v>
      </c>
      <c r="E64" s="17">
        <v>271691</v>
      </c>
      <c r="F64" s="18">
        <v>290693</v>
      </c>
      <c r="G64" s="18">
        <v>157968</v>
      </c>
      <c r="H64" s="19">
        <f t="shared" si="1"/>
        <v>132725</v>
      </c>
      <c r="I64" s="18">
        <v>8438</v>
      </c>
      <c r="J64" s="18">
        <v>74024</v>
      </c>
      <c r="K64" s="18">
        <v>123347</v>
      </c>
      <c r="L64" s="18">
        <v>83987</v>
      </c>
      <c r="M64" s="9"/>
      <c r="R64" s="23">
        <v>1342353</v>
      </c>
      <c r="U64" s="2">
        <v>1979</v>
      </c>
      <c r="V64" s="2">
        <v>11</v>
      </c>
      <c r="W64" s="16">
        <f t="shared" si="2"/>
        <v>750563</v>
      </c>
      <c r="X64" s="64">
        <v>673566</v>
      </c>
      <c r="Y64" s="64">
        <v>69744</v>
      </c>
      <c r="Z64" s="23">
        <v>2094</v>
      </c>
      <c r="AA64" s="23">
        <v>1821</v>
      </c>
      <c r="AB64" s="23">
        <v>3200</v>
      </c>
      <c r="AC64" s="23">
        <v>108</v>
      </c>
      <c r="AD64" s="23">
        <v>30</v>
      </c>
      <c r="AE64" s="20">
        <f t="shared" si="4"/>
        <v>138</v>
      </c>
      <c r="AF64" s="20">
        <f t="shared" si="3"/>
        <v>750425</v>
      </c>
    </row>
    <row r="65" spans="1:32">
      <c r="A65" s="2">
        <v>1979</v>
      </c>
      <c r="B65" s="2">
        <v>12</v>
      </c>
      <c r="C65" s="16">
        <f t="shared" si="0"/>
        <v>1317305</v>
      </c>
      <c r="D65" s="17">
        <v>491613</v>
      </c>
      <c r="E65" s="17">
        <v>246535</v>
      </c>
      <c r="F65" s="18">
        <v>284294</v>
      </c>
      <c r="G65" s="18">
        <v>161292</v>
      </c>
      <c r="H65" s="19">
        <f t="shared" si="1"/>
        <v>123002</v>
      </c>
      <c r="I65" s="18">
        <v>8447</v>
      </c>
      <c r="J65" s="18">
        <v>65049</v>
      </c>
      <c r="K65" s="18">
        <v>136301</v>
      </c>
      <c r="L65" s="18">
        <v>85066</v>
      </c>
      <c r="M65" s="9"/>
      <c r="R65" s="23">
        <v>1528078</v>
      </c>
      <c r="U65" s="2">
        <v>1979</v>
      </c>
      <c r="V65" s="2">
        <v>12</v>
      </c>
      <c r="W65" s="16">
        <f t="shared" si="2"/>
        <v>760375</v>
      </c>
      <c r="X65" s="64">
        <v>683085</v>
      </c>
      <c r="Y65" s="64">
        <v>70067</v>
      </c>
      <c r="Z65" s="23">
        <v>2087</v>
      </c>
      <c r="AA65" s="23">
        <v>1814</v>
      </c>
      <c r="AB65" s="23">
        <v>3184</v>
      </c>
      <c r="AC65" s="23">
        <v>108</v>
      </c>
      <c r="AD65" s="23">
        <v>30</v>
      </c>
      <c r="AE65" s="20">
        <f t="shared" si="4"/>
        <v>138</v>
      </c>
      <c r="AF65" s="20">
        <f t="shared" si="3"/>
        <v>760237</v>
      </c>
    </row>
    <row r="66" spans="1:32">
      <c r="A66" s="2">
        <v>1980</v>
      </c>
      <c r="B66" s="2">
        <v>1</v>
      </c>
      <c r="C66" s="16">
        <f t="shared" si="0"/>
        <v>1514540</v>
      </c>
      <c r="D66" s="17">
        <v>638646</v>
      </c>
      <c r="E66" s="17">
        <v>255115</v>
      </c>
      <c r="F66" s="18">
        <v>286583</v>
      </c>
      <c r="G66" s="18">
        <v>149394</v>
      </c>
      <c r="H66" s="19">
        <f t="shared" si="1"/>
        <v>137189</v>
      </c>
      <c r="I66" s="18">
        <v>8343</v>
      </c>
      <c r="J66" s="18">
        <v>62582</v>
      </c>
      <c r="K66" s="18">
        <v>170426</v>
      </c>
      <c r="L66" s="18">
        <v>92845</v>
      </c>
      <c r="M66" s="9"/>
      <c r="R66" s="24">
        <v>1628982</v>
      </c>
      <c r="U66" s="2">
        <v>1980</v>
      </c>
      <c r="V66" s="2">
        <v>1</v>
      </c>
      <c r="W66" s="16">
        <f t="shared" si="2"/>
        <v>767664</v>
      </c>
      <c r="X66" s="64">
        <v>690189</v>
      </c>
      <c r="Y66" s="64">
        <v>70228</v>
      </c>
      <c r="Z66" s="23">
        <v>2105</v>
      </c>
      <c r="AA66" s="23">
        <v>1766</v>
      </c>
      <c r="AB66" s="23">
        <v>3238</v>
      </c>
      <c r="AC66" s="23">
        <v>108</v>
      </c>
      <c r="AD66" s="23">
        <v>30</v>
      </c>
      <c r="AE66" s="20">
        <f t="shared" si="4"/>
        <v>138</v>
      </c>
      <c r="AF66" s="20">
        <f t="shared" si="3"/>
        <v>767526</v>
      </c>
    </row>
    <row r="67" spans="1:32">
      <c r="A67" s="2">
        <v>1980</v>
      </c>
      <c r="B67" s="2">
        <v>2</v>
      </c>
      <c r="C67" s="16">
        <f t="shared" si="0"/>
        <v>1539675</v>
      </c>
      <c r="D67" s="17">
        <v>648825</v>
      </c>
      <c r="E67" s="17">
        <v>249503</v>
      </c>
      <c r="F67" s="18">
        <v>295310</v>
      </c>
      <c r="G67" s="18">
        <v>156837</v>
      </c>
      <c r="H67" s="19">
        <f t="shared" si="1"/>
        <v>138473</v>
      </c>
      <c r="I67" s="18">
        <v>1711</v>
      </c>
      <c r="J67" s="18">
        <v>71615</v>
      </c>
      <c r="K67" s="18">
        <v>175964</v>
      </c>
      <c r="L67" s="18">
        <v>96747</v>
      </c>
      <c r="M67" s="9"/>
      <c r="R67" s="24">
        <v>1740938</v>
      </c>
      <c r="U67" s="2">
        <v>1980</v>
      </c>
      <c r="V67" s="2">
        <v>2</v>
      </c>
      <c r="W67" s="16">
        <f t="shared" si="2"/>
        <v>772477</v>
      </c>
      <c r="X67" s="64">
        <v>694731</v>
      </c>
      <c r="Y67" s="64">
        <v>70457</v>
      </c>
      <c r="Z67" s="23">
        <v>2117</v>
      </c>
      <c r="AA67" s="23">
        <v>1384</v>
      </c>
      <c r="AB67" s="23">
        <v>3650</v>
      </c>
      <c r="AC67" s="23">
        <v>108</v>
      </c>
      <c r="AD67" s="23">
        <v>30</v>
      </c>
      <c r="AE67" s="20">
        <f t="shared" si="4"/>
        <v>138</v>
      </c>
      <c r="AF67" s="20">
        <f t="shared" si="3"/>
        <v>772339</v>
      </c>
    </row>
    <row r="68" spans="1:32">
      <c r="A68" s="2">
        <v>1980</v>
      </c>
      <c r="B68" s="2">
        <v>3</v>
      </c>
      <c r="C68" s="16">
        <f t="shared" si="0"/>
        <v>1525092</v>
      </c>
      <c r="D68" s="17">
        <v>640086</v>
      </c>
      <c r="E68" s="17">
        <v>257509</v>
      </c>
      <c r="F68" s="18">
        <v>290627</v>
      </c>
      <c r="G68" s="18">
        <v>151119</v>
      </c>
      <c r="H68" s="19">
        <f t="shared" si="1"/>
        <v>139508</v>
      </c>
      <c r="I68" s="18">
        <v>1732</v>
      </c>
      <c r="J68" s="18">
        <v>72896</v>
      </c>
      <c r="K68" s="18">
        <v>166499</v>
      </c>
      <c r="L68" s="18">
        <v>95743</v>
      </c>
      <c r="M68" s="9"/>
      <c r="R68" s="24">
        <v>1527316</v>
      </c>
      <c r="U68" s="2">
        <v>1980</v>
      </c>
      <c r="V68" s="2">
        <v>3</v>
      </c>
      <c r="W68" s="16">
        <f t="shared" si="2"/>
        <v>775158</v>
      </c>
      <c r="X68" s="64">
        <v>697098</v>
      </c>
      <c r="Y68" s="64">
        <v>70714</v>
      </c>
      <c r="Z68" s="23">
        <v>2135</v>
      </c>
      <c r="AA68" s="23">
        <v>1391</v>
      </c>
      <c r="AB68" s="23">
        <v>3682</v>
      </c>
      <c r="AC68" s="23">
        <v>108</v>
      </c>
      <c r="AD68" s="23">
        <v>30</v>
      </c>
      <c r="AE68" s="20">
        <f t="shared" si="4"/>
        <v>138</v>
      </c>
      <c r="AF68" s="20">
        <f t="shared" si="3"/>
        <v>775020</v>
      </c>
    </row>
    <row r="69" spans="1:32">
      <c r="A69" s="2">
        <v>1980</v>
      </c>
      <c r="B69" s="2">
        <v>4</v>
      </c>
      <c r="C69" s="16">
        <f t="shared" si="0"/>
        <v>1345196</v>
      </c>
      <c r="D69" s="17">
        <v>465334</v>
      </c>
      <c r="E69" s="17">
        <v>274727</v>
      </c>
      <c r="F69" s="18">
        <v>292711</v>
      </c>
      <c r="G69" s="18">
        <v>155984</v>
      </c>
      <c r="H69" s="19">
        <f t="shared" si="1"/>
        <v>136727</v>
      </c>
      <c r="I69" s="18">
        <v>1710</v>
      </c>
      <c r="J69" s="18">
        <v>72407</v>
      </c>
      <c r="K69" s="18">
        <v>139911</v>
      </c>
      <c r="L69" s="18">
        <v>98396</v>
      </c>
      <c r="M69" s="9"/>
      <c r="R69" s="24">
        <v>1366218</v>
      </c>
      <c r="U69" s="2">
        <v>1980</v>
      </c>
      <c r="V69" s="2">
        <v>4</v>
      </c>
      <c r="W69" s="16">
        <f t="shared" si="2"/>
        <v>772287</v>
      </c>
      <c r="X69" s="64">
        <v>694124</v>
      </c>
      <c r="Y69" s="64">
        <v>70769</v>
      </c>
      <c r="Z69" s="23">
        <v>2132</v>
      </c>
      <c r="AA69" s="23">
        <v>1399</v>
      </c>
      <c r="AB69" s="23">
        <v>3724</v>
      </c>
      <c r="AC69" s="23">
        <v>108</v>
      </c>
      <c r="AD69" s="23">
        <v>31</v>
      </c>
      <c r="AE69" s="20">
        <f t="shared" si="4"/>
        <v>139</v>
      </c>
      <c r="AF69" s="20">
        <f t="shared" si="3"/>
        <v>772148</v>
      </c>
    </row>
    <row r="70" spans="1:32">
      <c r="A70" s="2">
        <v>1980</v>
      </c>
      <c r="B70" s="2">
        <v>5</v>
      </c>
      <c r="C70" s="16">
        <f t="shared" ref="C70:C133" si="5">SUM(D70:F70,I70:L70)</f>
        <v>1298726</v>
      </c>
      <c r="D70" s="17">
        <v>424104</v>
      </c>
      <c r="E70" s="17">
        <v>273613</v>
      </c>
      <c r="F70" s="18">
        <v>280366</v>
      </c>
      <c r="G70" s="18">
        <v>142095</v>
      </c>
      <c r="H70" s="19">
        <f t="shared" ref="H70:H133" si="6">(F70-G70)</f>
        <v>138271</v>
      </c>
      <c r="I70" s="18">
        <v>1720</v>
      </c>
      <c r="J70" s="18">
        <v>76336</v>
      </c>
      <c r="K70" s="18">
        <v>132505</v>
      </c>
      <c r="L70" s="18">
        <v>110082</v>
      </c>
      <c r="M70" s="9"/>
      <c r="R70" s="24">
        <v>1568524</v>
      </c>
      <c r="U70" s="2">
        <v>1980</v>
      </c>
      <c r="V70" s="2">
        <v>5</v>
      </c>
      <c r="W70" s="16">
        <f t="shared" ref="W70:W133" si="7">SUM(X70:AD70)</f>
        <v>764961</v>
      </c>
      <c r="X70" s="64">
        <v>686160</v>
      </c>
      <c r="Y70" s="64">
        <v>71372</v>
      </c>
      <c r="Z70" s="23">
        <v>2142</v>
      </c>
      <c r="AA70" s="23">
        <v>1402</v>
      </c>
      <c r="AB70" s="23">
        <v>3746</v>
      </c>
      <c r="AC70" s="23">
        <v>108</v>
      </c>
      <c r="AD70" s="23">
        <v>31</v>
      </c>
      <c r="AE70" s="20">
        <f t="shared" si="4"/>
        <v>139</v>
      </c>
      <c r="AF70" s="20">
        <f t="shared" si="3"/>
        <v>764822</v>
      </c>
    </row>
    <row r="71" spans="1:32">
      <c r="A71" s="2">
        <v>1980</v>
      </c>
      <c r="B71" s="2">
        <v>6</v>
      </c>
      <c r="C71" s="16">
        <f t="shared" si="5"/>
        <v>1574489</v>
      </c>
      <c r="D71" s="17">
        <v>573702</v>
      </c>
      <c r="E71" s="17">
        <v>322690</v>
      </c>
      <c r="F71" s="18">
        <v>299661</v>
      </c>
      <c r="G71" s="18">
        <v>155990</v>
      </c>
      <c r="H71" s="19">
        <f t="shared" si="6"/>
        <v>143671</v>
      </c>
      <c r="I71" s="18">
        <v>1723</v>
      </c>
      <c r="J71" s="18">
        <v>88248</v>
      </c>
      <c r="K71" s="18">
        <v>159846</v>
      </c>
      <c r="L71" s="18">
        <v>128619</v>
      </c>
      <c r="M71" s="9"/>
      <c r="R71" s="24">
        <v>1795932</v>
      </c>
      <c r="U71" s="2">
        <v>1980</v>
      </c>
      <c r="V71" s="2">
        <v>6</v>
      </c>
      <c r="W71" s="16">
        <f t="shared" si="7"/>
        <v>762901</v>
      </c>
      <c r="X71" s="64">
        <v>683384</v>
      </c>
      <c r="Y71" s="64">
        <v>72083</v>
      </c>
      <c r="Z71" s="23">
        <v>2150</v>
      </c>
      <c r="AA71" s="23">
        <v>1408</v>
      </c>
      <c r="AB71" s="23">
        <v>3739</v>
      </c>
      <c r="AC71" s="23">
        <v>106</v>
      </c>
      <c r="AD71" s="23">
        <v>31</v>
      </c>
      <c r="AE71" s="20">
        <f t="shared" si="4"/>
        <v>137</v>
      </c>
      <c r="AF71" s="20">
        <f t="shared" ref="AF71:AF134" si="8">SUM(X71:AB71)</f>
        <v>762764</v>
      </c>
    </row>
    <row r="72" spans="1:32">
      <c r="A72" s="2">
        <v>1980</v>
      </c>
      <c r="B72" s="2">
        <v>7</v>
      </c>
      <c r="C72" s="16">
        <f t="shared" si="5"/>
        <v>1791032</v>
      </c>
      <c r="D72" s="17">
        <v>731487</v>
      </c>
      <c r="E72" s="17">
        <v>348792</v>
      </c>
      <c r="F72" s="18">
        <v>284760</v>
      </c>
      <c r="G72" s="18">
        <v>154599</v>
      </c>
      <c r="H72" s="19">
        <f t="shared" si="6"/>
        <v>130161</v>
      </c>
      <c r="I72" s="18">
        <v>1755</v>
      </c>
      <c r="J72" s="18">
        <v>84773</v>
      </c>
      <c r="K72" s="18">
        <v>198866</v>
      </c>
      <c r="L72" s="18">
        <v>140599</v>
      </c>
      <c r="M72" s="9"/>
      <c r="R72" s="24">
        <v>2020438</v>
      </c>
      <c r="U72" s="2">
        <v>1980</v>
      </c>
      <c r="V72" s="2">
        <v>7</v>
      </c>
      <c r="W72" s="16">
        <f t="shared" si="7"/>
        <v>762642</v>
      </c>
      <c r="X72" s="64">
        <v>683582</v>
      </c>
      <c r="Y72" s="64">
        <v>71595</v>
      </c>
      <c r="Z72" s="23">
        <v>2164</v>
      </c>
      <c r="AA72" s="23">
        <v>1417</v>
      </c>
      <c r="AB72" s="23">
        <v>3746</v>
      </c>
      <c r="AC72" s="23">
        <v>107</v>
      </c>
      <c r="AD72" s="23">
        <v>31</v>
      </c>
      <c r="AE72" s="20">
        <f t="shared" si="4"/>
        <v>138</v>
      </c>
      <c r="AF72" s="20">
        <f t="shared" si="8"/>
        <v>762504</v>
      </c>
    </row>
    <row r="73" spans="1:32">
      <c r="A73" s="2">
        <v>1980</v>
      </c>
      <c r="B73" s="2">
        <v>8</v>
      </c>
      <c r="C73" s="16">
        <f t="shared" si="5"/>
        <v>1905152</v>
      </c>
      <c r="D73" s="17">
        <v>814092</v>
      </c>
      <c r="E73" s="17">
        <v>364951</v>
      </c>
      <c r="F73" s="18">
        <v>281835</v>
      </c>
      <c r="G73" s="18">
        <v>147329</v>
      </c>
      <c r="H73" s="19">
        <f t="shared" si="6"/>
        <v>134506</v>
      </c>
      <c r="I73" s="18">
        <v>1763</v>
      </c>
      <c r="J73" s="18">
        <v>86675</v>
      </c>
      <c r="K73" s="18">
        <v>208690</v>
      </c>
      <c r="L73" s="18">
        <v>147146</v>
      </c>
      <c r="M73" s="9"/>
      <c r="R73" s="24">
        <v>2031508</v>
      </c>
      <c r="U73" s="2">
        <v>1980</v>
      </c>
      <c r="V73" s="2">
        <v>8</v>
      </c>
      <c r="W73" s="16">
        <f t="shared" si="7"/>
        <v>764800</v>
      </c>
      <c r="X73" s="64">
        <v>686283</v>
      </c>
      <c r="Y73" s="64">
        <v>71040</v>
      </c>
      <c r="Z73" s="23">
        <v>2162</v>
      </c>
      <c r="AA73" s="23">
        <v>1422</v>
      </c>
      <c r="AB73" s="23">
        <v>3755</v>
      </c>
      <c r="AC73" s="23">
        <v>107</v>
      </c>
      <c r="AD73" s="23">
        <v>31</v>
      </c>
      <c r="AE73" s="20">
        <f t="shared" si="4"/>
        <v>138</v>
      </c>
      <c r="AF73" s="20">
        <f t="shared" si="8"/>
        <v>764662</v>
      </c>
    </row>
    <row r="74" spans="1:32">
      <c r="A74" s="2">
        <v>1980</v>
      </c>
      <c r="B74" s="2">
        <v>9</v>
      </c>
      <c r="C74" s="16">
        <f t="shared" si="5"/>
        <v>1810625</v>
      </c>
      <c r="D74" s="17">
        <v>752210</v>
      </c>
      <c r="E74" s="17">
        <v>342670</v>
      </c>
      <c r="F74" s="18">
        <v>289209</v>
      </c>
      <c r="G74" s="18">
        <v>161481</v>
      </c>
      <c r="H74" s="19">
        <f t="shared" si="6"/>
        <v>127728</v>
      </c>
      <c r="I74" s="18">
        <v>1755</v>
      </c>
      <c r="J74" s="18">
        <v>88845</v>
      </c>
      <c r="K74" s="18">
        <v>202061</v>
      </c>
      <c r="L74" s="18">
        <v>133875</v>
      </c>
      <c r="M74" s="9"/>
      <c r="R74" s="24">
        <v>1833685</v>
      </c>
      <c r="U74" s="2">
        <v>1980</v>
      </c>
      <c r="V74" s="2">
        <v>9</v>
      </c>
      <c r="W74" s="16">
        <f t="shared" si="7"/>
        <v>768547</v>
      </c>
      <c r="X74" s="64">
        <v>689720</v>
      </c>
      <c r="Y74" s="64">
        <v>71325</v>
      </c>
      <c r="Z74" s="23">
        <v>2183</v>
      </c>
      <c r="AA74" s="23">
        <v>1431</v>
      </c>
      <c r="AB74" s="23">
        <v>3750</v>
      </c>
      <c r="AC74" s="23">
        <v>106</v>
      </c>
      <c r="AD74" s="23">
        <v>32</v>
      </c>
      <c r="AE74" s="20">
        <f t="shared" si="4"/>
        <v>138</v>
      </c>
      <c r="AF74" s="20">
        <f t="shared" si="8"/>
        <v>768409</v>
      </c>
    </row>
    <row r="75" spans="1:32">
      <c r="A75" s="2">
        <v>1980</v>
      </c>
      <c r="B75" s="2">
        <v>10</v>
      </c>
      <c r="C75" s="16">
        <f t="shared" si="5"/>
        <v>1674167</v>
      </c>
      <c r="D75" s="17">
        <v>668493</v>
      </c>
      <c r="E75" s="17">
        <v>335123</v>
      </c>
      <c r="F75" s="18">
        <v>291085</v>
      </c>
      <c r="G75" s="18">
        <v>156784</v>
      </c>
      <c r="H75" s="19">
        <f t="shared" si="6"/>
        <v>134301</v>
      </c>
      <c r="I75" s="18">
        <v>1781</v>
      </c>
      <c r="J75" s="18">
        <v>96169</v>
      </c>
      <c r="K75" s="18">
        <v>171363</v>
      </c>
      <c r="L75" s="18">
        <v>110153</v>
      </c>
      <c r="M75" s="9"/>
      <c r="R75" s="24">
        <v>1503478</v>
      </c>
      <c r="U75" s="2">
        <v>1980</v>
      </c>
      <c r="V75" s="2">
        <v>10</v>
      </c>
      <c r="W75" s="16">
        <f t="shared" si="7"/>
        <v>774375</v>
      </c>
      <c r="X75" s="64">
        <v>694941</v>
      </c>
      <c r="Y75" s="64">
        <v>71923</v>
      </c>
      <c r="Z75" s="23">
        <v>2183</v>
      </c>
      <c r="AA75" s="23">
        <v>1429</v>
      </c>
      <c r="AB75" s="23">
        <v>3761</v>
      </c>
      <c r="AC75" s="23">
        <v>106</v>
      </c>
      <c r="AD75" s="23">
        <v>32</v>
      </c>
      <c r="AE75" s="20">
        <f t="shared" si="4"/>
        <v>138</v>
      </c>
      <c r="AF75" s="20">
        <f t="shared" si="8"/>
        <v>774237</v>
      </c>
    </row>
    <row r="76" spans="1:32">
      <c r="A76" s="2">
        <v>1980</v>
      </c>
      <c r="B76" s="2">
        <v>11</v>
      </c>
      <c r="C76" s="16">
        <f t="shared" si="5"/>
        <v>1397043</v>
      </c>
      <c r="D76" s="17">
        <v>481395</v>
      </c>
      <c r="E76" s="17">
        <v>298709</v>
      </c>
      <c r="F76" s="18">
        <v>289213</v>
      </c>
      <c r="G76" s="18">
        <v>152718</v>
      </c>
      <c r="H76" s="19">
        <f t="shared" si="6"/>
        <v>136495</v>
      </c>
      <c r="I76" s="18">
        <v>1792</v>
      </c>
      <c r="J76" s="18">
        <v>84382</v>
      </c>
      <c r="K76" s="18">
        <v>146900</v>
      </c>
      <c r="L76" s="18">
        <v>94652</v>
      </c>
      <c r="M76" s="9"/>
      <c r="R76" s="24">
        <v>1415449</v>
      </c>
      <c r="U76" s="2">
        <v>1980</v>
      </c>
      <c r="V76" s="2">
        <v>11</v>
      </c>
      <c r="W76" s="16">
        <f t="shared" si="7"/>
        <v>786015</v>
      </c>
      <c r="X76" s="64">
        <v>705883</v>
      </c>
      <c r="Y76" s="64">
        <v>72574</v>
      </c>
      <c r="Z76" s="23">
        <v>2193</v>
      </c>
      <c r="AA76" s="23">
        <v>1437</v>
      </c>
      <c r="AB76" s="23">
        <v>3790</v>
      </c>
      <c r="AC76" s="23">
        <v>106</v>
      </c>
      <c r="AD76" s="23">
        <v>32</v>
      </c>
      <c r="AE76" s="20">
        <f t="shared" si="4"/>
        <v>138</v>
      </c>
      <c r="AF76" s="20">
        <f t="shared" si="8"/>
        <v>785877</v>
      </c>
    </row>
    <row r="77" spans="1:32">
      <c r="A77" s="2">
        <v>1980</v>
      </c>
      <c r="B77" s="2">
        <v>12</v>
      </c>
      <c r="C77" s="16">
        <f t="shared" si="5"/>
        <v>1431918</v>
      </c>
      <c r="D77" s="17">
        <v>541365</v>
      </c>
      <c r="E77" s="17">
        <v>257711</v>
      </c>
      <c r="F77" s="18">
        <v>299634</v>
      </c>
      <c r="G77" s="18">
        <v>173361</v>
      </c>
      <c r="H77" s="19">
        <f t="shared" si="6"/>
        <v>126273</v>
      </c>
      <c r="I77" s="18">
        <v>1848</v>
      </c>
      <c r="J77" s="18">
        <v>75136</v>
      </c>
      <c r="K77" s="18">
        <v>154355</v>
      </c>
      <c r="L77" s="18">
        <v>101869</v>
      </c>
      <c r="M77" s="65">
        <v>812357</v>
      </c>
      <c r="N77" s="20"/>
      <c r="O77" s="20"/>
      <c r="P77" s="20"/>
      <c r="Q77" s="20"/>
      <c r="R77" s="24">
        <v>1720333</v>
      </c>
      <c r="U77" s="2">
        <v>1980</v>
      </c>
      <c r="V77" s="2">
        <v>12</v>
      </c>
      <c r="W77" s="16">
        <f t="shared" si="7"/>
        <v>795357</v>
      </c>
      <c r="X77" s="64">
        <v>714684</v>
      </c>
      <c r="Y77" s="64">
        <v>73095</v>
      </c>
      <c r="Z77" s="23">
        <v>2206</v>
      </c>
      <c r="AA77" s="23">
        <v>1442</v>
      </c>
      <c r="AB77" s="23">
        <v>3792</v>
      </c>
      <c r="AC77" s="23">
        <v>106</v>
      </c>
      <c r="AD77" s="23">
        <v>32</v>
      </c>
      <c r="AE77" s="20">
        <f t="shared" si="4"/>
        <v>138</v>
      </c>
      <c r="AF77" s="20">
        <f t="shared" si="8"/>
        <v>795219</v>
      </c>
    </row>
    <row r="78" spans="1:32">
      <c r="A78" s="2">
        <v>1981</v>
      </c>
      <c r="B78" s="2">
        <v>1</v>
      </c>
      <c r="C78" s="16">
        <f t="shared" si="5"/>
        <v>1899738</v>
      </c>
      <c r="D78" s="17">
        <v>895837</v>
      </c>
      <c r="E78" s="17">
        <v>285942</v>
      </c>
      <c r="F78" s="18">
        <v>281623</v>
      </c>
      <c r="G78" s="18">
        <v>147182</v>
      </c>
      <c r="H78" s="19">
        <f t="shared" si="6"/>
        <v>134441</v>
      </c>
      <c r="I78" s="18">
        <v>1847</v>
      </c>
      <c r="J78" s="18">
        <v>77416</v>
      </c>
      <c r="K78" s="18">
        <v>236100</v>
      </c>
      <c r="L78" s="18">
        <v>120973</v>
      </c>
      <c r="M78" s="65">
        <v>1007000</v>
      </c>
      <c r="N78" s="20">
        <f t="shared" ref="N78:N109" si="9">(M78-M77)</f>
        <v>194643</v>
      </c>
      <c r="O78" s="20">
        <f t="shared" ref="O78:O109" si="10">(C78+N78)</f>
        <v>2094381</v>
      </c>
      <c r="P78" s="65">
        <v>7340</v>
      </c>
      <c r="Q78" s="20">
        <f t="shared" ref="Q78:Q109" si="11">(R78-O78-P78)</f>
        <v>87338</v>
      </c>
      <c r="R78" s="24">
        <v>2189059</v>
      </c>
      <c r="S78" s="25">
        <f t="shared" ref="S78:S109" si="12">(Q78/R78)</f>
        <v>3.9897508472818685E-2</v>
      </c>
      <c r="U78" s="2">
        <v>1981</v>
      </c>
      <c r="V78" s="2">
        <v>1</v>
      </c>
      <c r="W78" s="16">
        <f t="shared" si="7"/>
        <v>801853</v>
      </c>
      <c r="X78" s="64">
        <v>720831</v>
      </c>
      <c r="Y78" s="64">
        <v>73431</v>
      </c>
      <c r="Z78" s="23">
        <v>2199</v>
      </c>
      <c r="AA78" s="23">
        <v>1450</v>
      </c>
      <c r="AB78" s="23">
        <v>3805</v>
      </c>
      <c r="AC78" s="23">
        <v>105</v>
      </c>
      <c r="AD78" s="23">
        <v>32</v>
      </c>
      <c r="AE78" s="20">
        <f t="shared" si="4"/>
        <v>137</v>
      </c>
      <c r="AF78" s="20">
        <f t="shared" si="8"/>
        <v>801716</v>
      </c>
    </row>
    <row r="79" spans="1:32">
      <c r="A79" s="2">
        <v>1981</v>
      </c>
      <c r="B79" s="2">
        <v>2</v>
      </c>
      <c r="C79" s="16">
        <f t="shared" si="5"/>
        <v>1772752</v>
      </c>
      <c r="D79" s="17">
        <v>806380</v>
      </c>
      <c r="E79" s="17">
        <v>273769</v>
      </c>
      <c r="F79" s="18">
        <v>295958</v>
      </c>
      <c r="G79" s="18">
        <v>152510</v>
      </c>
      <c r="H79" s="19">
        <f t="shared" si="6"/>
        <v>143448</v>
      </c>
      <c r="I79" s="18">
        <v>1844</v>
      </c>
      <c r="J79" s="18">
        <v>79283</v>
      </c>
      <c r="K79" s="18">
        <v>211414</v>
      </c>
      <c r="L79" s="18">
        <v>104104</v>
      </c>
      <c r="M79" s="65">
        <v>589654</v>
      </c>
      <c r="N79" s="20">
        <f t="shared" si="9"/>
        <v>-417346</v>
      </c>
      <c r="O79" s="20">
        <f t="shared" si="10"/>
        <v>1355406</v>
      </c>
      <c r="P79" s="65">
        <v>9307</v>
      </c>
      <c r="Q79" s="20">
        <f t="shared" si="11"/>
        <v>160929</v>
      </c>
      <c r="R79" s="24">
        <v>1525642</v>
      </c>
      <c r="S79" s="25">
        <f t="shared" si="12"/>
        <v>0.10548280658240924</v>
      </c>
      <c r="U79" s="2">
        <v>1981</v>
      </c>
      <c r="V79" s="2">
        <v>2</v>
      </c>
      <c r="W79" s="16">
        <f t="shared" si="7"/>
        <v>805819</v>
      </c>
      <c r="X79" s="64">
        <v>724376</v>
      </c>
      <c r="Y79" s="64">
        <v>73818</v>
      </c>
      <c r="Z79" s="23">
        <v>2208</v>
      </c>
      <c r="AA79" s="23">
        <v>1462</v>
      </c>
      <c r="AB79" s="23">
        <v>3817</v>
      </c>
      <c r="AC79" s="23">
        <v>106</v>
      </c>
      <c r="AD79" s="23">
        <v>32</v>
      </c>
      <c r="AE79" s="20">
        <f t="shared" si="4"/>
        <v>138</v>
      </c>
      <c r="AF79" s="20">
        <f t="shared" si="8"/>
        <v>805681</v>
      </c>
    </row>
    <row r="80" spans="1:32">
      <c r="A80" s="2">
        <v>1981</v>
      </c>
      <c r="B80" s="2">
        <v>3</v>
      </c>
      <c r="C80" s="16">
        <f t="shared" si="5"/>
        <v>1403758</v>
      </c>
      <c r="D80" s="17">
        <v>514794</v>
      </c>
      <c r="E80" s="17">
        <v>254005</v>
      </c>
      <c r="F80" s="18">
        <v>296762</v>
      </c>
      <c r="G80" s="18">
        <v>159142</v>
      </c>
      <c r="H80" s="19">
        <f t="shared" si="6"/>
        <v>137620</v>
      </c>
      <c r="I80" s="18">
        <v>1826</v>
      </c>
      <c r="J80" s="18">
        <v>73419</v>
      </c>
      <c r="K80" s="18">
        <v>162022</v>
      </c>
      <c r="L80" s="18">
        <v>100930</v>
      </c>
      <c r="M80" s="65">
        <v>648783</v>
      </c>
      <c r="N80" s="20">
        <f t="shared" si="9"/>
        <v>59129</v>
      </c>
      <c r="O80" s="20">
        <f t="shared" si="10"/>
        <v>1462887</v>
      </c>
      <c r="P80" s="65">
        <v>10991</v>
      </c>
      <c r="Q80" s="20">
        <f t="shared" si="11"/>
        <v>46599</v>
      </c>
      <c r="R80" s="24">
        <v>1520477</v>
      </c>
      <c r="S80" s="25">
        <f t="shared" si="12"/>
        <v>3.0647619135310826E-2</v>
      </c>
      <c r="U80" s="2">
        <v>1981</v>
      </c>
      <c r="V80" s="2">
        <v>3</v>
      </c>
      <c r="W80" s="16">
        <f t="shared" si="7"/>
        <v>807826</v>
      </c>
      <c r="X80" s="64">
        <v>726235</v>
      </c>
      <c r="Y80" s="64">
        <v>73935</v>
      </c>
      <c r="Z80" s="23">
        <v>2215</v>
      </c>
      <c r="AA80" s="23">
        <v>1435</v>
      </c>
      <c r="AB80" s="23">
        <v>3868</v>
      </c>
      <c r="AC80" s="23">
        <v>106</v>
      </c>
      <c r="AD80" s="23">
        <v>32</v>
      </c>
      <c r="AE80" s="20">
        <f t="shared" si="4"/>
        <v>138</v>
      </c>
      <c r="AF80" s="20">
        <f t="shared" si="8"/>
        <v>807688</v>
      </c>
    </row>
    <row r="81" spans="1:32">
      <c r="A81" s="2">
        <v>1981</v>
      </c>
      <c r="B81" s="2">
        <v>4</v>
      </c>
      <c r="C81" s="16">
        <f t="shared" si="5"/>
        <v>1378663</v>
      </c>
      <c r="D81" s="17">
        <v>481956</v>
      </c>
      <c r="E81" s="17">
        <v>273227</v>
      </c>
      <c r="F81" s="18">
        <v>293115</v>
      </c>
      <c r="G81" s="18">
        <v>155551</v>
      </c>
      <c r="H81" s="19">
        <f t="shared" si="6"/>
        <v>137564</v>
      </c>
      <c r="I81" s="18">
        <v>1763</v>
      </c>
      <c r="J81" s="18">
        <v>76794</v>
      </c>
      <c r="K81" s="18">
        <v>147714</v>
      </c>
      <c r="L81" s="18">
        <v>104094</v>
      </c>
      <c r="M81" s="65">
        <v>677810</v>
      </c>
      <c r="N81" s="20">
        <f t="shared" si="9"/>
        <v>29027</v>
      </c>
      <c r="O81" s="20">
        <f t="shared" si="10"/>
        <v>1407690</v>
      </c>
      <c r="P81" s="65">
        <v>14155</v>
      </c>
      <c r="Q81" s="20">
        <f t="shared" si="11"/>
        <v>78185</v>
      </c>
      <c r="R81" s="24">
        <v>1500030</v>
      </c>
      <c r="S81" s="25">
        <f t="shared" si="12"/>
        <v>5.2122290887515584E-2</v>
      </c>
      <c r="U81" s="2">
        <v>1981</v>
      </c>
      <c r="V81" s="2">
        <v>4</v>
      </c>
      <c r="W81" s="16">
        <f t="shared" si="7"/>
        <v>802221</v>
      </c>
      <c r="X81" s="64">
        <v>720503</v>
      </c>
      <c r="Y81" s="64">
        <v>74082</v>
      </c>
      <c r="Z81" s="23">
        <v>2203</v>
      </c>
      <c r="AA81" s="23">
        <v>1432</v>
      </c>
      <c r="AB81" s="23">
        <v>3863</v>
      </c>
      <c r="AC81" s="23">
        <v>106</v>
      </c>
      <c r="AD81" s="23">
        <v>32</v>
      </c>
      <c r="AE81" s="20">
        <f t="shared" si="4"/>
        <v>138</v>
      </c>
      <c r="AF81" s="20">
        <f t="shared" si="8"/>
        <v>802083</v>
      </c>
    </row>
    <row r="82" spans="1:32">
      <c r="A82" s="2">
        <v>1981</v>
      </c>
      <c r="B82" s="2">
        <v>5</v>
      </c>
      <c r="C82" s="16">
        <f t="shared" si="5"/>
        <v>1409367</v>
      </c>
      <c r="D82" s="17">
        <v>465382</v>
      </c>
      <c r="E82" s="17">
        <v>313580</v>
      </c>
      <c r="F82" s="18">
        <v>281098</v>
      </c>
      <c r="G82" s="18">
        <v>154206</v>
      </c>
      <c r="H82" s="19">
        <f t="shared" si="6"/>
        <v>126892</v>
      </c>
      <c r="I82" s="18">
        <v>1804</v>
      </c>
      <c r="J82" s="18">
        <v>86693</v>
      </c>
      <c r="K82" s="18">
        <v>147958</v>
      </c>
      <c r="L82" s="18">
        <v>112852</v>
      </c>
      <c r="M82" s="65">
        <v>746831</v>
      </c>
      <c r="N82" s="20">
        <f t="shared" si="9"/>
        <v>69021</v>
      </c>
      <c r="O82" s="20">
        <f t="shared" si="10"/>
        <v>1478388</v>
      </c>
      <c r="P82" s="65">
        <v>8500</v>
      </c>
      <c r="Q82" s="20">
        <f t="shared" si="11"/>
        <v>100505</v>
      </c>
      <c r="R82" s="24">
        <v>1587393</v>
      </c>
      <c r="S82" s="25">
        <f t="shared" si="12"/>
        <v>6.3314503717730897E-2</v>
      </c>
      <c r="U82" s="2">
        <v>1981</v>
      </c>
      <c r="V82" s="2">
        <v>5</v>
      </c>
      <c r="W82" s="16">
        <f t="shared" si="7"/>
        <v>794717</v>
      </c>
      <c r="X82" s="64">
        <v>712716</v>
      </c>
      <c r="Y82" s="64">
        <v>74296</v>
      </c>
      <c r="Z82" s="23">
        <v>2223</v>
      </c>
      <c r="AA82" s="23">
        <v>1444</v>
      </c>
      <c r="AB82" s="23">
        <v>3900</v>
      </c>
      <c r="AC82" s="23">
        <v>106</v>
      </c>
      <c r="AD82" s="23">
        <v>32</v>
      </c>
      <c r="AE82" s="20">
        <f t="shared" si="4"/>
        <v>138</v>
      </c>
      <c r="AF82" s="20">
        <f t="shared" si="8"/>
        <v>794579</v>
      </c>
    </row>
    <row r="83" spans="1:32">
      <c r="A83" s="2">
        <v>1981</v>
      </c>
      <c r="B83" s="2">
        <v>6</v>
      </c>
      <c r="C83" s="16">
        <f t="shared" si="5"/>
        <v>1654183</v>
      </c>
      <c r="D83" s="17">
        <v>618480</v>
      </c>
      <c r="E83" s="17">
        <v>346300</v>
      </c>
      <c r="F83" s="18">
        <v>288468</v>
      </c>
      <c r="G83" s="18">
        <v>157023</v>
      </c>
      <c r="H83" s="19">
        <f t="shared" si="6"/>
        <v>131445</v>
      </c>
      <c r="I83" s="18">
        <v>1826</v>
      </c>
      <c r="J83" s="18">
        <v>94128</v>
      </c>
      <c r="K83" s="18">
        <v>174736</v>
      </c>
      <c r="L83" s="18">
        <v>130245</v>
      </c>
      <c r="M83" s="65">
        <v>990424</v>
      </c>
      <c r="N83" s="20">
        <f t="shared" si="9"/>
        <v>243593</v>
      </c>
      <c r="O83" s="20">
        <f t="shared" si="10"/>
        <v>1897776</v>
      </c>
      <c r="P83" s="65">
        <v>7257</v>
      </c>
      <c r="Q83" s="20">
        <f t="shared" si="11"/>
        <v>82132</v>
      </c>
      <c r="R83" s="24">
        <v>1987165</v>
      </c>
      <c r="S83" s="25">
        <f t="shared" si="12"/>
        <v>4.1331243253579848E-2</v>
      </c>
      <c r="U83" s="2">
        <v>1981</v>
      </c>
      <c r="V83" s="2">
        <v>6</v>
      </c>
      <c r="W83" s="16">
        <f t="shared" si="7"/>
        <v>791653</v>
      </c>
      <c r="X83" s="64">
        <v>709331</v>
      </c>
      <c r="Y83" s="64">
        <v>74550</v>
      </c>
      <c r="Z83" s="23">
        <v>2239</v>
      </c>
      <c r="AA83" s="23">
        <v>1454</v>
      </c>
      <c r="AB83" s="23">
        <v>3939</v>
      </c>
      <c r="AC83" s="23">
        <v>107</v>
      </c>
      <c r="AD83" s="23">
        <v>33</v>
      </c>
      <c r="AE83" s="20">
        <f t="shared" ref="AE83:AE146" si="13">SUM(AC83:AD83)</f>
        <v>140</v>
      </c>
      <c r="AF83" s="20">
        <f t="shared" si="8"/>
        <v>791513</v>
      </c>
    </row>
    <row r="84" spans="1:32">
      <c r="A84" s="2">
        <v>1981</v>
      </c>
      <c r="B84" s="2">
        <v>7</v>
      </c>
      <c r="C84" s="16">
        <f t="shared" si="5"/>
        <v>1812111</v>
      </c>
      <c r="D84" s="17">
        <v>759226</v>
      </c>
      <c r="E84" s="17">
        <v>356455</v>
      </c>
      <c r="F84" s="18">
        <v>278585</v>
      </c>
      <c r="G84" s="18">
        <v>162557</v>
      </c>
      <c r="H84" s="19">
        <f t="shared" si="6"/>
        <v>116028</v>
      </c>
      <c r="I84" s="18">
        <v>1738</v>
      </c>
      <c r="J84" s="18">
        <v>87044</v>
      </c>
      <c r="K84" s="18">
        <v>196931</v>
      </c>
      <c r="L84" s="18">
        <v>132132</v>
      </c>
      <c r="M84" s="65">
        <v>1060889</v>
      </c>
      <c r="N84" s="20">
        <f t="shared" si="9"/>
        <v>70465</v>
      </c>
      <c r="O84" s="20">
        <f t="shared" si="10"/>
        <v>1882576</v>
      </c>
      <c r="P84" s="65">
        <v>706</v>
      </c>
      <c r="Q84" s="20">
        <f t="shared" si="11"/>
        <v>179812</v>
      </c>
      <c r="R84" s="24">
        <v>2063094</v>
      </c>
      <c r="S84" s="25">
        <f t="shared" si="12"/>
        <v>8.7156474692864208E-2</v>
      </c>
      <c r="U84" s="2">
        <v>1981</v>
      </c>
      <c r="V84" s="2">
        <v>7</v>
      </c>
      <c r="W84" s="16">
        <f t="shared" si="7"/>
        <v>793226</v>
      </c>
      <c r="X84" s="64">
        <v>710805</v>
      </c>
      <c r="Y84" s="64">
        <v>74622</v>
      </c>
      <c r="Z84" s="23">
        <v>2244</v>
      </c>
      <c r="AA84" s="23">
        <v>1451</v>
      </c>
      <c r="AB84" s="23">
        <v>3964</v>
      </c>
      <c r="AC84" s="23">
        <v>106</v>
      </c>
      <c r="AD84" s="23">
        <v>34</v>
      </c>
      <c r="AE84" s="20">
        <f t="shared" si="13"/>
        <v>140</v>
      </c>
      <c r="AF84" s="20">
        <f t="shared" si="8"/>
        <v>793086</v>
      </c>
    </row>
    <row r="85" spans="1:32">
      <c r="A85" s="2">
        <v>1981</v>
      </c>
      <c r="B85" s="2">
        <v>8</v>
      </c>
      <c r="C85" s="16">
        <f t="shared" si="5"/>
        <v>1862167</v>
      </c>
      <c r="D85" s="17">
        <v>802069</v>
      </c>
      <c r="E85" s="17">
        <v>369802</v>
      </c>
      <c r="F85" s="18">
        <v>233386</v>
      </c>
      <c r="G85" s="18">
        <v>110166</v>
      </c>
      <c r="H85" s="19">
        <f t="shared" si="6"/>
        <v>123220</v>
      </c>
      <c r="I85" s="18">
        <v>1805</v>
      </c>
      <c r="J85" s="18">
        <v>87520</v>
      </c>
      <c r="K85" s="18">
        <v>218827</v>
      </c>
      <c r="L85" s="18">
        <v>148758</v>
      </c>
      <c r="M85" s="65">
        <v>1014316</v>
      </c>
      <c r="N85" s="20">
        <f t="shared" si="9"/>
        <v>-46573</v>
      </c>
      <c r="O85" s="20">
        <f t="shared" si="10"/>
        <v>1815594</v>
      </c>
      <c r="P85" s="65">
        <v>7273</v>
      </c>
      <c r="Q85" s="20">
        <f t="shared" si="11"/>
        <v>132916</v>
      </c>
      <c r="R85" s="24">
        <v>1955783</v>
      </c>
      <c r="S85" s="25">
        <f t="shared" si="12"/>
        <v>6.7960504820831352E-2</v>
      </c>
      <c r="U85" s="2">
        <v>1981</v>
      </c>
      <c r="V85" s="2">
        <v>8</v>
      </c>
      <c r="W85" s="16">
        <f t="shared" si="7"/>
        <v>794888</v>
      </c>
      <c r="X85" s="64">
        <v>712247</v>
      </c>
      <c r="Y85" s="64">
        <v>74811</v>
      </c>
      <c r="Z85" s="23">
        <v>2255</v>
      </c>
      <c r="AA85" s="23">
        <v>1458</v>
      </c>
      <c r="AB85" s="23">
        <v>3978</v>
      </c>
      <c r="AC85" s="23">
        <v>106</v>
      </c>
      <c r="AD85" s="23">
        <v>33</v>
      </c>
      <c r="AE85" s="20">
        <f t="shared" si="13"/>
        <v>139</v>
      </c>
      <c r="AF85" s="20">
        <f t="shared" si="8"/>
        <v>794749</v>
      </c>
    </row>
    <row r="86" spans="1:32">
      <c r="A86" s="2">
        <v>1981</v>
      </c>
      <c r="B86" s="2">
        <v>9</v>
      </c>
      <c r="C86" s="16">
        <f t="shared" si="5"/>
        <v>1704652</v>
      </c>
      <c r="D86" s="17">
        <v>728605</v>
      </c>
      <c r="E86" s="17">
        <v>351514</v>
      </c>
      <c r="F86" s="18">
        <v>216387</v>
      </c>
      <c r="G86" s="18">
        <v>96268</v>
      </c>
      <c r="H86" s="19">
        <f t="shared" si="6"/>
        <v>120119</v>
      </c>
      <c r="I86" s="18">
        <v>1787</v>
      </c>
      <c r="J86" s="18">
        <v>91969</v>
      </c>
      <c r="K86" s="18">
        <v>205101</v>
      </c>
      <c r="L86" s="18">
        <v>109289</v>
      </c>
      <c r="M86" s="65">
        <v>962647</v>
      </c>
      <c r="N86" s="20">
        <f t="shared" si="9"/>
        <v>-51669</v>
      </c>
      <c r="O86" s="20">
        <f t="shared" si="10"/>
        <v>1652983</v>
      </c>
      <c r="P86" s="65">
        <v>10460</v>
      </c>
      <c r="Q86" s="20">
        <f t="shared" si="11"/>
        <v>82835</v>
      </c>
      <c r="R86" s="24">
        <v>1746278</v>
      </c>
      <c r="S86" s="25">
        <f t="shared" si="12"/>
        <v>4.7435173551977405E-2</v>
      </c>
      <c r="U86" s="2">
        <v>1981</v>
      </c>
      <c r="V86" s="2">
        <v>9</v>
      </c>
      <c r="W86" s="16">
        <f t="shared" si="7"/>
        <v>798006</v>
      </c>
      <c r="X86" s="64">
        <v>715446</v>
      </c>
      <c r="Y86" s="64">
        <v>74688</v>
      </c>
      <c r="Z86" s="23">
        <v>2248</v>
      </c>
      <c r="AA86" s="23">
        <v>1463</v>
      </c>
      <c r="AB86" s="23">
        <v>4023</v>
      </c>
      <c r="AC86" s="23">
        <v>107</v>
      </c>
      <c r="AD86" s="23">
        <v>31</v>
      </c>
      <c r="AE86" s="20">
        <f t="shared" si="13"/>
        <v>138</v>
      </c>
      <c r="AF86" s="20">
        <f t="shared" si="8"/>
        <v>797868</v>
      </c>
    </row>
    <row r="87" spans="1:32">
      <c r="A87" s="2">
        <v>1981</v>
      </c>
      <c r="B87" s="2">
        <v>10</v>
      </c>
      <c r="C87" s="16">
        <f t="shared" si="5"/>
        <v>1555859</v>
      </c>
      <c r="D87" s="17">
        <v>588797</v>
      </c>
      <c r="E87" s="17">
        <v>325702</v>
      </c>
      <c r="F87" s="18">
        <v>270980</v>
      </c>
      <c r="G87" s="18">
        <v>137483</v>
      </c>
      <c r="H87" s="19">
        <f t="shared" si="6"/>
        <v>133497</v>
      </c>
      <c r="I87" s="18">
        <v>1795</v>
      </c>
      <c r="J87" s="18">
        <v>94197</v>
      </c>
      <c r="K87" s="18">
        <v>164276</v>
      </c>
      <c r="L87" s="18">
        <v>110112</v>
      </c>
      <c r="M87" s="65">
        <v>923506</v>
      </c>
      <c r="N87" s="20">
        <f t="shared" si="9"/>
        <v>-39141</v>
      </c>
      <c r="O87" s="20">
        <f t="shared" si="10"/>
        <v>1516718</v>
      </c>
      <c r="P87" s="65">
        <v>9141</v>
      </c>
      <c r="Q87" s="20">
        <f t="shared" si="11"/>
        <v>95293</v>
      </c>
      <c r="R87" s="24">
        <v>1621152</v>
      </c>
      <c r="S87" s="25">
        <f t="shared" si="12"/>
        <v>5.8781039655750975E-2</v>
      </c>
      <c r="U87" s="2">
        <v>1981</v>
      </c>
      <c r="V87" s="2">
        <v>10</v>
      </c>
      <c r="W87" s="16">
        <f t="shared" si="7"/>
        <v>803175</v>
      </c>
      <c r="X87" s="64">
        <v>720467</v>
      </c>
      <c r="Y87" s="64">
        <v>74792</v>
      </c>
      <c r="Z87" s="23">
        <v>2270</v>
      </c>
      <c r="AA87" s="23">
        <v>1478</v>
      </c>
      <c r="AB87" s="23">
        <v>4028</v>
      </c>
      <c r="AC87" s="23">
        <v>107</v>
      </c>
      <c r="AD87" s="23">
        <v>33</v>
      </c>
      <c r="AE87" s="20">
        <f t="shared" si="13"/>
        <v>140</v>
      </c>
      <c r="AF87" s="20">
        <f t="shared" si="8"/>
        <v>803035</v>
      </c>
    </row>
    <row r="88" spans="1:32">
      <c r="A88" s="2">
        <v>1981</v>
      </c>
      <c r="B88" s="2">
        <v>11</v>
      </c>
      <c r="C88" s="16">
        <f t="shared" si="5"/>
        <v>1482587</v>
      </c>
      <c r="D88" s="17">
        <v>503025</v>
      </c>
      <c r="E88" s="17">
        <v>313602</v>
      </c>
      <c r="F88" s="18">
        <v>287679</v>
      </c>
      <c r="G88" s="18">
        <v>148507</v>
      </c>
      <c r="H88" s="19">
        <f t="shared" si="6"/>
        <v>139172</v>
      </c>
      <c r="I88" s="18">
        <v>1853</v>
      </c>
      <c r="J88" s="18">
        <v>89223</v>
      </c>
      <c r="K88" s="18">
        <v>166640</v>
      </c>
      <c r="L88" s="18">
        <v>120565</v>
      </c>
      <c r="M88" s="65">
        <v>795105</v>
      </c>
      <c r="N88" s="20">
        <f t="shared" si="9"/>
        <v>-128401</v>
      </c>
      <c r="O88" s="20">
        <f t="shared" si="10"/>
        <v>1354186</v>
      </c>
      <c r="P88" s="65">
        <v>13033</v>
      </c>
      <c r="Q88" s="20">
        <f t="shared" si="11"/>
        <v>101937</v>
      </c>
      <c r="R88" s="24">
        <v>1469156</v>
      </c>
      <c r="S88" s="25">
        <f t="shared" si="12"/>
        <v>6.9384735181287766E-2</v>
      </c>
      <c r="U88" s="2">
        <v>1981</v>
      </c>
      <c r="V88" s="2">
        <v>11</v>
      </c>
      <c r="W88" s="16">
        <f t="shared" si="7"/>
        <v>815581</v>
      </c>
      <c r="X88" s="64">
        <v>732737</v>
      </c>
      <c r="Y88" s="64">
        <v>74859</v>
      </c>
      <c r="Z88" s="23">
        <v>2293</v>
      </c>
      <c r="AA88" s="23">
        <v>1490</v>
      </c>
      <c r="AB88" s="23">
        <v>4062</v>
      </c>
      <c r="AC88" s="23">
        <v>108</v>
      </c>
      <c r="AD88" s="23">
        <v>32</v>
      </c>
      <c r="AE88" s="20">
        <f t="shared" si="13"/>
        <v>140</v>
      </c>
      <c r="AF88" s="20">
        <f t="shared" si="8"/>
        <v>815441</v>
      </c>
    </row>
    <row r="89" spans="1:32">
      <c r="A89" s="2">
        <v>1981</v>
      </c>
      <c r="B89" s="2">
        <v>12</v>
      </c>
      <c r="C89" s="16">
        <f t="shared" si="5"/>
        <v>1521018</v>
      </c>
      <c r="D89" s="17">
        <v>587714</v>
      </c>
      <c r="E89" s="17">
        <v>271295</v>
      </c>
      <c r="F89" s="18">
        <v>264284</v>
      </c>
      <c r="G89" s="18">
        <v>142794</v>
      </c>
      <c r="H89" s="19">
        <f t="shared" si="6"/>
        <v>121490</v>
      </c>
      <c r="I89" s="18">
        <v>1876</v>
      </c>
      <c r="J89" s="18">
        <v>79026</v>
      </c>
      <c r="K89" s="18">
        <v>191299</v>
      </c>
      <c r="L89" s="18">
        <v>125524</v>
      </c>
      <c r="M89" s="65">
        <v>973361</v>
      </c>
      <c r="N89" s="20">
        <f t="shared" si="9"/>
        <v>178256</v>
      </c>
      <c r="O89" s="20">
        <f t="shared" si="10"/>
        <v>1699274</v>
      </c>
      <c r="P89" s="65">
        <v>14294</v>
      </c>
      <c r="Q89" s="20">
        <f t="shared" si="11"/>
        <v>45010</v>
      </c>
      <c r="R89" s="24">
        <v>1758578</v>
      </c>
      <c r="S89" s="25">
        <f t="shared" si="12"/>
        <v>2.559454286360912E-2</v>
      </c>
      <c r="U89" s="2">
        <v>1981</v>
      </c>
      <c r="V89" s="2">
        <v>12</v>
      </c>
      <c r="W89" s="16">
        <f t="shared" si="7"/>
        <v>824474</v>
      </c>
      <c r="X89" s="64">
        <v>741382</v>
      </c>
      <c r="Y89" s="64">
        <v>75068</v>
      </c>
      <c r="Z89" s="23">
        <v>2296</v>
      </c>
      <c r="AA89" s="23">
        <v>1496</v>
      </c>
      <c r="AB89" s="23">
        <v>4092</v>
      </c>
      <c r="AC89" s="23">
        <v>108</v>
      </c>
      <c r="AD89" s="23">
        <v>32</v>
      </c>
      <c r="AE89" s="20">
        <f t="shared" si="13"/>
        <v>140</v>
      </c>
      <c r="AF89" s="20">
        <f t="shared" si="8"/>
        <v>824334</v>
      </c>
    </row>
    <row r="90" spans="1:32">
      <c r="A90" s="2">
        <v>1982</v>
      </c>
      <c r="B90" s="2">
        <v>1</v>
      </c>
      <c r="C90" s="16">
        <f t="shared" si="5"/>
        <v>1636192</v>
      </c>
      <c r="D90" s="17">
        <v>722265</v>
      </c>
      <c r="E90" s="17">
        <v>290019</v>
      </c>
      <c r="F90" s="18">
        <v>224696</v>
      </c>
      <c r="G90" s="18">
        <v>109591</v>
      </c>
      <c r="H90" s="19">
        <f t="shared" si="6"/>
        <v>115105</v>
      </c>
      <c r="I90" s="18">
        <v>1888</v>
      </c>
      <c r="J90" s="18">
        <v>78916</v>
      </c>
      <c r="K90" s="18">
        <v>206737</v>
      </c>
      <c r="L90" s="18">
        <v>111671</v>
      </c>
      <c r="M90" s="65">
        <v>954969</v>
      </c>
      <c r="N90" s="20">
        <f t="shared" si="9"/>
        <v>-18392</v>
      </c>
      <c r="O90" s="20">
        <f t="shared" si="10"/>
        <v>1617800</v>
      </c>
      <c r="P90" s="65">
        <v>8955</v>
      </c>
      <c r="Q90" s="20">
        <f t="shared" si="11"/>
        <v>127365</v>
      </c>
      <c r="R90" s="24">
        <v>1754120</v>
      </c>
      <c r="S90" s="25">
        <f t="shared" si="12"/>
        <v>7.2609057533122023E-2</v>
      </c>
      <c r="U90" s="2">
        <v>1982</v>
      </c>
      <c r="V90" s="2">
        <v>1</v>
      </c>
      <c r="W90" s="16">
        <f t="shared" si="7"/>
        <v>830312</v>
      </c>
      <c r="X90" s="64">
        <v>747181</v>
      </c>
      <c r="Y90" s="64">
        <v>75028</v>
      </c>
      <c r="Z90" s="23">
        <v>2313</v>
      </c>
      <c r="AA90" s="23">
        <v>1498</v>
      </c>
      <c r="AB90" s="23">
        <v>4152</v>
      </c>
      <c r="AC90" s="23">
        <v>108</v>
      </c>
      <c r="AD90" s="23">
        <v>32</v>
      </c>
      <c r="AE90" s="20">
        <f t="shared" si="13"/>
        <v>140</v>
      </c>
      <c r="AF90" s="20">
        <f t="shared" si="8"/>
        <v>830172</v>
      </c>
    </row>
    <row r="91" spans="1:32">
      <c r="A91" s="2">
        <v>1982</v>
      </c>
      <c r="B91" s="2">
        <v>2</v>
      </c>
      <c r="C91" s="16">
        <f t="shared" si="5"/>
        <v>1474226</v>
      </c>
      <c r="D91" s="17">
        <v>597691</v>
      </c>
      <c r="E91" s="17">
        <v>272215</v>
      </c>
      <c r="F91" s="18">
        <v>246821</v>
      </c>
      <c r="G91" s="18">
        <v>121744</v>
      </c>
      <c r="H91" s="19">
        <f t="shared" si="6"/>
        <v>125077</v>
      </c>
      <c r="I91" s="18">
        <v>1811</v>
      </c>
      <c r="J91" s="18">
        <v>78631</v>
      </c>
      <c r="K91" s="18">
        <v>179057</v>
      </c>
      <c r="L91" s="18">
        <v>98000</v>
      </c>
      <c r="M91" s="65">
        <v>694622</v>
      </c>
      <c r="N91" s="20">
        <f t="shared" si="9"/>
        <v>-260347</v>
      </c>
      <c r="O91" s="20">
        <f t="shared" si="10"/>
        <v>1213879</v>
      </c>
      <c r="P91" s="65">
        <v>14455</v>
      </c>
      <c r="Q91" s="20">
        <f t="shared" si="11"/>
        <v>145531</v>
      </c>
      <c r="R91" s="24">
        <v>1373865</v>
      </c>
      <c r="S91" s="25">
        <f t="shared" si="12"/>
        <v>0.10592816615897487</v>
      </c>
      <c r="U91" s="2">
        <v>1982</v>
      </c>
      <c r="V91" s="2">
        <v>2</v>
      </c>
      <c r="W91" s="16">
        <f t="shared" si="7"/>
        <v>833776</v>
      </c>
      <c r="X91" s="64">
        <v>750510</v>
      </c>
      <c r="Y91" s="64">
        <v>75083</v>
      </c>
      <c r="Z91" s="23">
        <v>2320</v>
      </c>
      <c r="AA91" s="23">
        <v>1482</v>
      </c>
      <c r="AB91" s="23">
        <v>4242</v>
      </c>
      <c r="AC91" s="23">
        <v>107</v>
      </c>
      <c r="AD91" s="23">
        <v>32</v>
      </c>
      <c r="AE91" s="20">
        <f t="shared" si="13"/>
        <v>139</v>
      </c>
      <c r="AF91" s="20">
        <f t="shared" si="8"/>
        <v>833637</v>
      </c>
    </row>
    <row r="92" spans="1:32">
      <c r="A92" s="2">
        <v>1982</v>
      </c>
      <c r="B92" s="2">
        <v>3</v>
      </c>
      <c r="C92" s="16">
        <f t="shared" si="5"/>
        <v>1368590</v>
      </c>
      <c r="D92" s="17">
        <v>492452</v>
      </c>
      <c r="E92" s="17">
        <v>276556</v>
      </c>
      <c r="F92" s="18">
        <v>244049</v>
      </c>
      <c r="G92" s="18">
        <v>124143</v>
      </c>
      <c r="H92" s="19">
        <f t="shared" si="6"/>
        <v>119906</v>
      </c>
      <c r="I92" s="18">
        <v>1821</v>
      </c>
      <c r="J92" s="18">
        <v>79649</v>
      </c>
      <c r="K92" s="18">
        <v>163680</v>
      </c>
      <c r="L92" s="18">
        <v>110383</v>
      </c>
      <c r="M92" s="65">
        <v>829974</v>
      </c>
      <c r="N92" s="20">
        <f t="shared" si="9"/>
        <v>135352</v>
      </c>
      <c r="O92" s="20">
        <f t="shared" si="10"/>
        <v>1503942</v>
      </c>
      <c r="P92" s="65">
        <v>10340</v>
      </c>
      <c r="Q92" s="20">
        <f t="shared" si="11"/>
        <v>56417</v>
      </c>
      <c r="R92" s="24">
        <v>1570699</v>
      </c>
      <c r="S92" s="25">
        <f t="shared" si="12"/>
        <v>3.5918403207743817E-2</v>
      </c>
      <c r="U92" s="2">
        <v>1982</v>
      </c>
      <c r="V92" s="2">
        <v>3</v>
      </c>
      <c r="W92" s="16">
        <f t="shared" si="7"/>
        <v>836107</v>
      </c>
      <c r="X92" s="64">
        <v>752564</v>
      </c>
      <c r="Y92" s="64">
        <v>75294</v>
      </c>
      <c r="Z92" s="23">
        <v>2327</v>
      </c>
      <c r="AA92" s="23">
        <v>1491</v>
      </c>
      <c r="AB92" s="23">
        <v>4291</v>
      </c>
      <c r="AC92" s="23">
        <v>108</v>
      </c>
      <c r="AD92" s="23">
        <v>32</v>
      </c>
      <c r="AE92" s="20">
        <f t="shared" si="13"/>
        <v>140</v>
      </c>
      <c r="AF92" s="20">
        <f t="shared" si="8"/>
        <v>835967</v>
      </c>
    </row>
    <row r="93" spans="1:32">
      <c r="A93" s="2">
        <v>1982</v>
      </c>
      <c r="B93" s="2">
        <v>4</v>
      </c>
      <c r="C93" s="16">
        <f t="shared" si="5"/>
        <v>1417250</v>
      </c>
      <c r="D93" s="17">
        <v>497132</v>
      </c>
      <c r="E93" s="17">
        <v>307198</v>
      </c>
      <c r="F93" s="18">
        <v>264886</v>
      </c>
      <c r="G93" s="18">
        <v>138607</v>
      </c>
      <c r="H93" s="19">
        <f t="shared" si="6"/>
        <v>126279</v>
      </c>
      <c r="I93" s="18">
        <v>1818</v>
      </c>
      <c r="J93" s="18">
        <v>85972</v>
      </c>
      <c r="K93" s="18">
        <v>153087</v>
      </c>
      <c r="L93" s="18">
        <v>107157</v>
      </c>
      <c r="M93" s="65">
        <v>799378</v>
      </c>
      <c r="N93" s="20">
        <f t="shared" si="9"/>
        <v>-30596</v>
      </c>
      <c r="O93" s="20">
        <f t="shared" si="10"/>
        <v>1386654</v>
      </c>
      <c r="P93" s="65">
        <v>10160</v>
      </c>
      <c r="Q93" s="20">
        <f t="shared" si="11"/>
        <v>87716</v>
      </c>
      <c r="R93" s="24">
        <v>1484530</v>
      </c>
      <c r="S93" s="25">
        <f t="shared" si="12"/>
        <v>5.9086714313621148E-2</v>
      </c>
      <c r="U93" s="2">
        <v>1982</v>
      </c>
      <c r="V93" s="2">
        <v>4</v>
      </c>
      <c r="W93" s="16">
        <f t="shared" si="7"/>
        <v>832288</v>
      </c>
      <c r="X93" s="64">
        <v>748366</v>
      </c>
      <c r="Y93" s="64">
        <v>75632</v>
      </c>
      <c r="Z93" s="23">
        <v>2330</v>
      </c>
      <c r="AA93" s="23">
        <v>1504</v>
      </c>
      <c r="AB93" s="23">
        <v>4316</v>
      </c>
      <c r="AC93" s="23">
        <v>108</v>
      </c>
      <c r="AD93" s="23">
        <v>32</v>
      </c>
      <c r="AE93" s="20">
        <f t="shared" si="13"/>
        <v>140</v>
      </c>
      <c r="AF93" s="20">
        <f t="shared" si="8"/>
        <v>832148</v>
      </c>
    </row>
    <row r="94" spans="1:32">
      <c r="A94" s="2">
        <v>1982</v>
      </c>
      <c r="B94" s="2">
        <v>5</v>
      </c>
      <c r="C94" s="16">
        <f t="shared" si="5"/>
        <v>1359596</v>
      </c>
      <c r="D94" s="17">
        <v>477032</v>
      </c>
      <c r="E94" s="17">
        <v>309242</v>
      </c>
      <c r="F94" s="18">
        <v>232425</v>
      </c>
      <c r="G94" s="18">
        <v>106747</v>
      </c>
      <c r="H94" s="19">
        <f t="shared" si="6"/>
        <v>125678</v>
      </c>
      <c r="I94" s="18">
        <v>1655</v>
      </c>
      <c r="J94" s="18">
        <v>87217</v>
      </c>
      <c r="K94" s="18">
        <v>145428</v>
      </c>
      <c r="L94" s="18">
        <v>106597</v>
      </c>
      <c r="M94" s="65">
        <v>878976</v>
      </c>
      <c r="N94" s="20">
        <f t="shared" si="9"/>
        <v>79598</v>
      </c>
      <c r="O94" s="20">
        <f t="shared" si="10"/>
        <v>1439194</v>
      </c>
      <c r="P94" s="65">
        <v>11724</v>
      </c>
      <c r="Q94" s="20">
        <f t="shared" si="11"/>
        <v>108577</v>
      </c>
      <c r="R94" s="24">
        <v>1559495</v>
      </c>
      <c r="S94" s="25">
        <f t="shared" si="12"/>
        <v>6.9623179298426735E-2</v>
      </c>
      <c r="U94" s="2">
        <v>1982</v>
      </c>
      <c r="V94" s="2">
        <v>5</v>
      </c>
      <c r="W94" s="16">
        <f t="shared" si="7"/>
        <v>821649</v>
      </c>
      <c r="X94" s="64">
        <v>737411</v>
      </c>
      <c r="Y94" s="64">
        <v>75866</v>
      </c>
      <c r="Z94" s="23">
        <v>2325</v>
      </c>
      <c r="AA94" s="23">
        <v>1467</v>
      </c>
      <c r="AB94" s="23">
        <v>4440</v>
      </c>
      <c r="AC94" s="23">
        <v>109</v>
      </c>
      <c r="AD94" s="23">
        <v>31</v>
      </c>
      <c r="AE94" s="20">
        <f t="shared" si="13"/>
        <v>140</v>
      </c>
      <c r="AF94" s="20">
        <f t="shared" si="8"/>
        <v>821509</v>
      </c>
    </row>
    <row r="95" spans="1:32">
      <c r="A95" s="2">
        <v>1982</v>
      </c>
      <c r="B95" s="2">
        <v>6</v>
      </c>
      <c r="C95" s="16">
        <f t="shared" si="5"/>
        <v>1585988</v>
      </c>
      <c r="D95" s="17">
        <v>619228</v>
      </c>
      <c r="E95" s="17">
        <v>348509</v>
      </c>
      <c r="F95" s="18">
        <v>216729</v>
      </c>
      <c r="G95" s="18">
        <v>90995</v>
      </c>
      <c r="H95" s="19">
        <f t="shared" si="6"/>
        <v>125734</v>
      </c>
      <c r="I95" s="18">
        <v>1409</v>
      </c>
      <c r="J95" s="18">
        <v>96522</v>
      </c>
      <c r="K95" s="18">
        <v>181104</v>
      </c>
      <c r="L95" s="18">
        <v>122487</v>
      </c>
      <c r="M95" s="65">
        <v>1090330</v>
      </c>
      <c r="N95" s="20">
        <f t="shared" si="9"/>
        <v>211354</v>
      </c>
      <c r="O95" s="20">
        <f t="shared" si="10"/>
        <v>1797342</v>
      </c>
      <c r="P95" s="65">
        <v>12737</v>
      </c>
      <c r="Q95" s="20">
        <f t="shared" si="11"/>
        <v>79766</v>
      </c>
      <c r="R95" s="24">
        <v>1889845</v>
      </c>
      <c r="S95" s="25">
        <f t="shared" si="12"/>
        <v>4.220769428180618E-2</v>
      </c>
      <c r="U95" s="2">
        <v>1982</v>
      </c>
      <c r="V95" s="2">
        <v>6</v>
      </c>
      <c r="W95" s="16">
        <f t="shared" si="7"/>
        <v>818251</v>
      </c>
      <c r="X95" s="64">
        <v>733696</v>
      </c>
      <c r="Y95" s="64">
        <v>76016</v>
      </c>
      <c r="Z95" s="23">
        <v>2337</v>
      </c>
      <c r="AA95" s="23">
        <v>1317</v>
      </c>
      <c r="AB95" s="23">
        <v>4745</v>
      </c>
      <c r="AC95" s="23">
        <v>108</v>
      </c>
      <c r="AD95" s="23">
        <v>32</v>
      </c>
      <c r="AE95" s="20">
        <f t="shared" si="13"/>
        <v>140</v>
      </c>
      <c r="AF95" s="20">
        <f t="shared" si="8"/>
        <v>818111</v>
      </c>
    </row>
    <row r="96" spans="1:32">
      <c r="A96" s="2">
        <v>1982</v>
      </c>
      <c r="B96" s="2">
        <v>7</v>
      </c>
      <c r="C96" s="16">
        <f t="shared" si="5"/>
        <v>1774616</v>
      </c>
      <c r="D96" s="17">
        <v>765200</v>
      </c>
      <c r="E96" s="17">
        <v>371096</v>
      </c>
      <c r="F96" s="18">
        <v>194684</v>
      </c>
      <c r="G96" s="18">
        <v>74410</v>
      </c>
      <c r="H96" s="19">
        <f t="shared" si="6"/>
        <v>120274</v>
      </c>
      <c r="I96" s="18">
        <v>1409</v>
      </c>
      <c r="J96" s="18">
        <v>92056</v>
      </c>
      <c r="K96" s="18">
        <v>204087</v>
      </c>
      <c r="L96" s="18">
        <v>146084</v>
      </c>
      <c r="M96" s="65">
        <v>1068826</v>
      </c>
      <c r="N96" s="20">
        <f t="shared" si="9"/>
        <v>-21504</v>
      </c>
      <c r="O96" s="20">
        <f t="shared" si="10"/>
        <v>1753112</v>
      </c>
      <c r="P96" s="65">
        <v>18679</v>
      </c>
      <c r="Q96" s="20">
        <f t="shared" si="11"/>
        <v>165215</v>
      </c>
      <c r="R96" s="24">
        <v>1937006</v>
      </c>
      <c r="S96" s="25">
        <f t="shared" si="12"/>
        <v>8.5294005284444141E-2</v>
      </c>
      <c r="U96" s="2">
        <v>1982</v>
      </c>
      <c r="V96" s="2">
        <v>7</v>
      </c>
      <c r="W96" s="16">
        <f t="shared" si="7"/>
        <v>820653</v>
      </c>
      <c r="X96" s="64">
        <v>735864</v>
      </c>
      <c r="Y96" s="64">
        <v>76264</v>
      </c>
      <c r="Z96" s="23">
        <v>2332</v>
      </c>
      <c r="AA96" s="23">
        <v>1324</v>
      </c>
      <c r="AB96" s="23">
        <v>4729</v>
      </c>
      <c r="AC96" s="23">
        <v>109</v>
      </c>
      <c r="AD96" s="23">
        <v>31</v>
      </c>
      <c r="AE96" s="20">
        <f t="shared" si="13"/>
        <v>140</v>
      </c>
      <c r="AF96" s="20">
        <f t="shared" si="8"/>
        <v>820513</v>
      </c>
    </row>
    <row r="97" spans="1:32">
      <c r="A97" s="2">
        <v>1982</v>
      </c>
      <c r="B97" s="2">
        <v>8</v>
      </c>
      <c r="C97" s="16">
        <f t="shared" si="5"/>
        <v>1762571</v>
      </c>
      <c r="D97" s="17">
        <v>758596</v>
      </c>
      <c r="E97" s="17">
        <v>361939</v>
      </c>
      <c r="F97" s="18">
        <v>202094</v>
      </c>
      <c r="G97" s="18">
        <v>84005</v>
      </c>
      <c r="H97" s="19">
        <f t="shared" si="6"/>
        <v>118089</v>
      </c>
      <c r="I97" s="18">
        <v>1419</v>
      </c>
      <c r="J97" s="18">
        <v>88286</v>
      </c>
      <c r="K97" s="18">
        <v>208188</v>
      </c>
      <c r="L97" s="18">
        <v>142049</v>
      </c>
      <c r="M97" s="65">
        <v>1157410</v>
      </c>
      <c r="N97" s="20">
        <f t="shared" si="9"/>
        <v>88584</v>
      </c>
      <c r="O97" s="20">
        <f t="shared" si="10"/>
        <v>1851155</v>
      </c>
      <c r="P97" s="65">
        <v>19375</v>
      </c>
      <c r="Q97" s="20">
        <f t="shared" si="11"/>
        <v>130512</v>
      </c>
      <c r="R97" s="24">
        <v>2001042</v>
      </c>
      <c r="S97" s="25">
        <f t="shared" si="12"/>
        <v>6.5222019327930147E-2</v>
      </c>
      <c r="U97" s="2">
        <v>1982</v>
      </c>
      <c r="V97" s="2">
        <v>8</v>
      </c>
      <c r="W97" s="16">
        <f t="shared" si="7"/>
        <v>818307</v>
      </c>
      <c r="X97" s="64">
        <v>733676</v>
      </c>
      <c r="Y97" s="64">
        <v>76108</v>
      </c>
      <c r="Z97" s="23">
        <v>2328</v>
      </c>
      <c r="AA97" s="23">
        <v>1319</v>
      </c>
      <c r="AB97" s="23">
        <v>4736</v>
      </c>
      <c r="AC97" s="23">
        <v>109</v>
      </c>
      <c r="AD97" s="23">
        <v>31</v>
      </c>
      <c r="AE97" s="20">
        <f t="shared" si="13"/>
        <v>140</v>
      </c>
      <c r="AF97" s="20">
        <f t="shared" si="8"/>
        <v>818167</v>
      </c>
    </row>
    <row r="98" spans="1:32">
      <c r="A98" s="2">
        <v>1982</v>
      </c>
      <c r="B98" s="2">
        <v>9</v>
      </c>
      <c r="C98" s="16">
        <f t="shared" si="5"/>
        <v>1880646</v>
      </c>
      <c r="D98" s="17">
        <v>808673</v>
      </c>
      <c r="E98" s="17">
        <v>385833</v>
      </c>
      <c r="F98" s="18">
        <v>216914</v>
      </c>
      <c r="G98" s="18">
        <v>94801</v>
      </c>
      <c r="H98" s="19">
        <f t="shared" si="6"/>
        <v>122113</v>
      </c>
      <c r="I98" s="18">
        <v>1411</v>
      </c>
      <c r="J98" s="18">
        <v>103792</v>
      </c>
      <c r="K98" s="18">
        <v>215529</v>
      </c>
      <c r="L98" s="18">
        <v>148494</v>
      </c>
      <c r="M98" s="65">
        <v>957912</v>
      </c>
      <c r="N98" s="20">
        <f t="shared" si="9"/>
        <v>-199498</v>
      </c>
      <c r="O98" s="20">
        <f t="shared" si="10"/>
        <v>1681148</v>
      </c>
      <c r="P98" s="65">
        <v>13705</v>
      </c>
      <c r="Q98" s="20">
        <f t="shared" si="11"/>
        <v>104156</v>
      </c>
      <c r="R98" s="24">
        <v>1799009</v>
      </c>
      <c r="S98" s="25">
        <f t="shared" si="12"/>
        <v>5.7896319584838096E-2</v>
      </c>
      <c r="U98" s="2">
        <v>1982</v>
      </c>
      <c r="V98" s="2">
        <v>9</v>
      </c>
      <c r="W98" s="16">
        <f t="shared" si="7"/>
        <v>823093</v>
      </c>
      <c r="X98" s="64">
        <v>737824</v>
      </c>
      <c r="Y98" s="64">
        <v>76685</v>
      </c>
      <c r="Z98" s="23">
        <v>2337</v>
      </c>
      <c r="AA98" s="23">
        <v>1335</v>
      </c>
      <c r="AB98" s="23">
        <v>4772</v>
      </c>
      <c r="AC98" s="23">
        <v>108</v>
      </c>
      <c r="AD98" s="23">
        <v>32</v>
      </c>
      <c r="AE98" s="20">
        <f t="shared" si="13"/>
        <v>140</v>
      </c>
      <c r="AF98" s="20">
        <f t="shared" si="8"/>
        <v>822953</v>
      </c>
    </row>
    <row r="99" spans="1:32">
      <c r="A99" s="2">
        <v>1982</v>
      </c>
      <c r="B99" s="2">
        <v>10</v>
      </c>
      <c r="C99" s="16">
        <f t="shared" si="5"/>
        <v>1641370</v>
      </c>
      <c r="D99" s="17">
        <v>651150</v>
      </c>
      <c r="E99" s="17">
        <v>347323</v>
      </c>
      <c r="F99" s="18">
        <v>223959</v>
      </c>
      <c r="G99" s="18">
        <v>108096</v>
      </c>
      <c r="H99" s="19">
        <f t="shared" si="6"/>
        <v>115863</v>
      </c>
      <c r="I99" s="18">
        <v>1383</v>
      </c>
      <c r="J99" s="18">
        <v>103739</v>
      </c>
      <c r="K99" s="18">
        <v>183070</v>
      </c>
      <c r="L99" s="18">
        <v>130746</v>
      </c>
      <c r="M99" s="65">
        <v>891894</v>
      </c>
      <c r="N99" s="20">
        <f t="shared" si="9"/>
        <v>-66018</v>
      </c>
      <c r="O99" s="20">
        <f t="shared" si="10"/>
        <v>1575352</v>
      </c>
      <c r="P99" s="65">
        <v>22403</v>
      </c>
      <c r="Q99" s="20">
        <f t="shared" si="11"/>
        <v>38498</v>
      </c>
      <c r="R99" s="24">
        <v>1636253</v>
      </c>
      <c r="S99" s="25">
        <f t="shared" si="12"/>
        <v>2.3528146319670613E-2</v>
      </c>
      <c r="U99" s="2">
        <v>1982</v>
      </c>
      <c r="V99" s="2">
        <v>10</v>
      </c>
      <c r="W99" s="16">
        <f t="shared" si="7"/>
        <v>828282</v>
      </c>
      <c r="X99" s="64">
        <v>742553</v>
      </c>
      <c r="Y99" s="64">
        <v>77127</v>
      </c>
      <c r="Z99" s="23">
        <v>2357</v>
      </c>
      <c r="AA99" s="23">
        <v>1331</v>
      </c>
      <c r="AB99" s="23">
        <v>4774</v>
      </c>
      <c r="AC99" s="23">
        <v>108</v>
      </c>
      <c r="AD99" s="23">
        <v>32</v>
      </c>
      <c r="AE99" s="20">
        <f t="shared" si="13"/>
        <v>140</v>
      </c>
      <c r="AF99" s="20">
        <f t="shared" si="8"/>
        <v>828142</v>
      </c>
    </row>
    <row r="100" spans="1:32">
      <c r="A100" s="2">
        <v>1982</v>
      </c>
      <c r="B100" s="2">
        <v>11</v>
      </c>
      <c r="C100" s="16">
        <f t="shared" si="5"/>
        <v>1408559</v>
      </c>
      <c r="D100" s="17">
        <v>507876</v>
      </c>
      <c r="E100" s="17">
        <v>305011</v>
      </c>
      <c r="F100" s="18">
        <v>219818</v>
      </c>
      <c r="G100" s="18">
        <v>107360</v>
      </c>
      <c r="H100" s="19">
        <f t="shared" si="6"/>
        <v>112458</v>
      </c>
      <c r="I100" s="18">
        <v>1390</v>
      </c>
      <c r="J100" s="18">
        <v>90370</v>
      </c>
      <c r="K100" s="18">
        <v>162366</v>
      </c>
      <c r="L100" s="18">
        <v>121728</v>
      </c>
      <c r="M100" s="65">
        <v>803517</v>
      </c>
      <c r="N100" s="20">
        <f t="shared" si="9"/>
        <v>-88377</v>
      </c>
      <c r="O100" s="20">
        <f t="shared" si="10"/>
        <v>1320182</v>
      </c>
      <c r="P100" s="65">
        <v>19895</v>
      </c>
      <c r="Q100" s="20">
        <f t="shared" si="11"/>
        <v>81174</v>
      </c>
      <c r="R100" s="24">
        <v>1421251</v>
      </c>
      <c r="S100" s="25">
        <f t="shared" si="12"/>
        <v>5.7114471687267063E-2</v>
      </c>
      <c r="U100" s="2">
        <v>1982</v>
      </c>
      <c r="V100" s="2">
        <v>11</v>
      </c>
      <c r="W100" s="16">
        <f t="shared" si="7"/>
        <v>842200</v>
      </c>
      <c r="X100" s="64">
        <v>755941</v>
      </c>
      <c r="Y100" s="64">
        <v>77593</v>
      </c>
      <c r="Z100" s="23">
        <v>2364</v>
      </c>
      <c r="AA100" s="23">
        <v>1342</v>
      </c>
      <c r="AB100" s="23">
        <v>4821</v>
      </c>
      <c r="AC100" s="23">
        <v>107</v>
      </c>
      <c r="AD100" s="23">
        <v>32</v>
      </c>
      <c r="AE100" s="20">
        <f t="shared" si="13"/>
        <v>139</v>
      </c>
      <c r="AF100" s="20">
        <f t="shared" si="8"/>
        <v>842061</v>
      </c>
    </row>
    <row r="101" spans="1:32">
      <c r="A101" s="2">
        <v>1982</v>
      </c>
      <c r="B101" s="2">
        <v>12</v>
      </c>
      <c r="C101" s="16">
        <f t="shared" si="5"/>
        <v>1451209</v>
      </c>
      <c r="D101" s="17">
        <v>527689</v>
      </c>
      <c r="E101" s="17">
        <v>320276</v>
      </c>
      <c r="F101" s="18">
        <v>228466</v>
      </c>
      <c r="G101" s="18">
        <v>109565</v>
      </c>
      <c r="H101" s="19">
        <f t="shared" si="6"/>
        <v>118901</v>
      </c>
      <c r="I101" s="18">
        <v>1391</v>
      </c>
      <c r="J101" s="18">
        <v>90922</v>
      </c>
      <c r="K101" s="18">
        <v>162019</v>
      </c>
      <c r="L101" s="18">
        <v>120446</v>
      </c>
      <c r="M101" s="65">
        <v>957202</v>
      </c>
      <c r="N101" s="20">
        <f t="shared" si="9"/>
        <v>153685</v>
      </c>
      <c r="O101" s="20">
        <f t="shared" si="10"/>
        <v>1604894</v>
      </c>
      <c r="P101" s="65">
        <v>34484</v>
      </c>
      <c r="Q101" s="20">
        <f t="shared" si="11"/>
        <v>31363</v>
      </c>
      <c r="R101" s="24">
        <v>1670741</v>
      </c>
      <c r="S101" s="25">
        <f t="shared" si="12"/>
        <v>1.8771910188353551E-2</v>
      </c>
      <c r="U101" s="2">
        <v>1982</v>
      </c>
      <c r="V101" s="2">
        <v>12</v>
      </c>
      <c r="W101" s="16">
        <f t="shared" si="7"/>
        <v>852999</v>
      </c>
      <c r="X101" s="64">
        <v>766275</v>
      </c>
      <c r="Y101" s="64">
        <v>78021</v>
      </c>
      <c r="Z101" s="23">
        <v>2360</v>
      </c>
      <c r="AA101" s="23">
        <v>1353</v>
      </c>
      <c r="AB101" s="23">
        <v>4849</v>
      </c>
      <c r="AC101" s="23">
        <v>109</v>
      </c>
      <c r="AD101" s="23">
        <v>32</v>
      </c>
      <c r="AE101" s="20">
        <f t="shared" si="13"/>
        <v>141</v>
      </c>
      <c r="AF101" s="20">
        <f t="shared" si="8"/>
        <v>852858</v>
      </c>
    </row>
    <row r="102" spans="1:32">
      <c r="A102" s="2">
        <v>1983</v>
      </c>
      <c r="B102" s="2">
        <v>1</v>
      </c>
      <c r="C102" s="16">
        <f t="shared" si="5"/>
        <v>1575233</v>
      </c>
      <c r="D102" s="17">
        <v>646956</v>
      </c>
      <c r="E102" s="17">
        <v>291864</v>
      </c>
      <c r="F102" s="18">
        <v>223626</v>
      </c>
      <c r="G102" s="18">
        <v>104381</v>
      </c>
      <c r="H102" s="19">
        <f t="shared" si="6"/>
        <v>119245</v>
      </c>
      <c r="I102" s="18">
        <v>1379</v>
      </c>
      <c r="J102" s="18">
        <v>81345</v>
      </c>
      <c r="K102" s="18">
        <v>203016</v>
      </c>
      <c r="L102" s="18">
        <v>127047</v>
      </c>
      <c r="M102" s="65">
        <v>1095721</v>
      </c>
      <c r="N102" s="20">
        <f t="shared" si="9"/>
        <v>138519</v>
      </c>
      <c r="O102" s="20">
        <f t="shared" si="10"/>
        <v>1713752</v>
      </c>
      <c r="P102" s="65">
        <v>10907</v>
      </c>
      <c r="Q102" s="20">
        <f t="shared" si="11"/>
        <v>166303</v>
      </c>
      <c r="R102" s="24">
        <v>1890962</v>
      </c>
      <c r="S102" s="25">
        <f t="shared" si="12"/>
        <v>8.7946241119599436E-2</v>
      </c>
      <c r="U102" s="2">
        <v>1983</v>
      </c>
      <c r="V102" s="2">
        <v>1</v>
      </c>
      <c r="W102" s="16">
        <f t="shared" si="7"/>
        <v>859838</v>
      </c>
      <c r="X102" s="64">
        <v>772732</v>
      </c>
      <c r="Y102" s="64">
        <v>78384</v>
      </c>
      <c r="Z102" s="23">
        <v>2371</v>
      </c>
      <c r="AA102" s="23">
        <v>1351</v>
      </c>
      <c r="AB102" s="23">
        <v>4860</v>
      </c>
      <c r="AC102" s="23">
        <v>108</v>
      </c>
      <c r="AD102" s="23">
        <v>32</v>
      </c>
      <c r="AE102" s="20">
        <f t="shared" si="13"/>
        <v>140</v>
      </c>
      <c r="AF102" s="20">
        <f t="shared" si="8"/>
        <v>859698</v>
      </c>
    </row>
    <row r="103" spans="1:32">
      <c r="A103" s="2">
        <v>1983</v>
      </c>
      <c r="B103" s="2">
        <v>2</v>
      </c>
      <c r="C103" s="16">
        <f t="shared" si="5"/>
        <v>1677878</v>
      </c>
      <c r="D103" s="17">
        <v>752906</v>
      </c>
      <c r="E103" s="17">
        <v>287847</v>
      </c>
      <c r="F103" s="18">
        <v>219168</v>
      </c>
      <c r="G103" s="18">
        <v>106420</v>
      </c>
      <c r="H103" s="19">
        <f t="shared" si="6"/>
        <v>112748</v>
      </c>
      <c r="I103" s="18">
        <v>1379</v>
      </c>
      <c r="J103" s="18">
        <v>87404</v>
      </c>
      <c r="K103" s="18">
        <v>214316</v>
      </c>
      <c r="L103" s="18">
        <v>114858</v>
      </c>
      <c r="M103" s="65">
        <v>877561</v>
      </c>
      <c r="N103" s="20">
        <f t="shared" si="9"/>
        <v>-218160</v>
      </c>
      <c r="O103" s="20">
        <f t="shared" si="10"/>
        <v>1459718</v>
      </c>
      <c r="P103" s="65">
        <v>10317</v>
      </c>
      <c r="Q103" s="20">
        <f t="shared" si="11"/>
        <v>141373</v>
      </c>
      <c r="R103" s="24">
        <v>1611408</v>
      </c>
      <c r="S103" s="25">
        <f t="shared" si="12"/>
        <v>8.7732591621737022E-2</v>
      </c>
      <c r="U103" s="2">
        <v>1983</v>
      </c>
      <c r="V103" s="2">
        <v>2</v>
      </c>
      <c r="W103" s="16">
        <f t="shared" si="7"/>
        <v>864541</v>
      </c>
      <c r="X103" s="64">
        <v>776898</v>
      </c>
      <c r="Y103" s="64">
        <v>78896</v>
      </c>
      <c r="Z103" s="23">
        <v>2383</v>
      </c>
      <c r="AA103" s="23">
        <v>1357</v>
      </c>
      <c r="AB103" s="23">
        <v>4867</v>
      </c>
      <c r="AC103" s="23">
        <v>108</v>
      </c>
      <c r="AD103" s="23">
        <v>32</v>
      </c>
      <c r="AE103" s="20">
        <f t="shared" si="13"/>
        <v>140</v>
      </c>
      <c r="AF103" s="20">
        <f t="shared" si="8"/>
        <v>864401</v>
      </c>
    </row>
    <row r="104" spans="1:32">
      <c r="A104" s="2">
        <v>1983</v>
      </c>
      <c r="B104" s="2">
        <v>3</v>
      </c>
      <c r="C104" s="16">
        <f t="shared" si="5"/>
        <v>1537145</v>
      </c>
      <c r="D104" s="17">
        <v>649674</v>
      </c>
      <c r="E104" s="17">
        <v>286631</v>
      </c>
      <c r="F104" s="18">
        <v>216585</v>
      </c>
      <c r="G104" s="18">
        <v>107453</v>
      </c>
      <c r="H104" s="19">
        <f t="shared" si="6"/>
        <v>109132</v>
      </c>
      <c r="I104" s="18">
        <v>1371</v>
      </c>
      <c r="J104" s="18">
        <v>86802</v>
      </c>
      <c r="K104" s="18">
        <v>188571</v>
      </c>
      <c r="L104" s="18">
        <v>107511</v>
      </c>
      <c r="M104" s="65">
        <v>904711</v>
      </c>
      <c r="N104" s="20">
        <f t="shared" si="9"/>
        <v>27150</v>
      </c>
      <c r="O104" s="20">
        <f t="shared" si="10"/>
        <v>1564295</v>
      </c>
      <c r="P104" s="65">
        <v>12270</v>
      </c>
      <c r="Q104" s="20">
        <f t="shared" si="11"/>
        <v>58302</v>
      </c>
      <c r="R104" s="24">
        <v>1634867</v>
      </c>
      <c r="S104" s="25">
        <f t="shared" si="12"/>
        <v>3.5661616510700871E-2</v>
      </c>
      <c r="U104" s="2">
        <v>1983</v>
      </c>
      <c r="V104" s="2">
        <v>3</v>
      </c>
      <c r="W104" s="16">
        <f t="shared" si="7"/>
        <v>866979</v>
      </c>
      <c r="X104" s="64">
        <v>778565</v>
      </c>
      <c r="Y104" s="64">
        <v>79382</v>
      </c>
      <c r="Z104" s="23">
        <v>2367</v>
      </c>
      <c r="AA104" s="23">
        <v>1364</v>
      </c>
      <c r="AB104" s="23">
        <v>5167</v>
      </c>
      <c r="AC104" s="23">
        <v>108</v>
      </c>
      <c r="AD104" s="23">
        <v>26</v>
      </c>
      <c r="AE104" s="20">
        <f t="shared" si="13"/>
        <v>134</v>
      </c>
      <c r="AF104" s="20">
        <f t="shared" si="8"/>
        <v>866845</v>
      </c>
    </row>
    <row r="105" spans="1:32">
      <c r="A105" s="2">
        <v>1983</v>
      </c>
      <c r="B105" s="2">
        <v>4</v>
      </c>
      <c r="C105" s="16">
        <f t="shared" si="5"/>
        <v>1461712</v>
      </c>
      <c r="D105" s="17">
        <v>574066</v>
      </c>
      <c r="E105" s="17">
        <v>293233</v>
      </c>
      <c r="F105" s="18">
        <v>230424</v>
      </c>
      <c r="G105" s="18">
        <v>109957</v>
      </c>
      <c r="H105" s="19">
        <f t="shared" si="6"/>
        <v>120467</v>
      </c>
      <c r="I105" s="18">
        <v>1373</v>
      </c>
      <c r="J105" s="18">
        <v>86898</v>
      </c>
      <c r="K105" s="18">
        <v>165683</v>
      </c>
      <c r="L105" s="18">
        <v>110035</v>
      </c>
      <c r="M105" s="65">
        <v>789192</v>
      </c>
      <c r="N105" s="20">
        <f t="shared" si="9"/>
        <v>-115519</v>
      </c>
      <c r="O105" s="20">
        <f t="shared" si="10"/>
        <v>1346193</v>
      </c>
      <c r="P105" s="65">
        <v>11377</v>
      </c>
      <c r="Q105" s="20">
        <f t="shared" si="11"/>
        <v>100683</v>
      </c>
      <c r="R105" s="24">
        <v>1458253</v>
      </c>
      <c r="S105" s="25">
        <f t="shared" si="12"/>
        <v>6.9043574743202996E-2</v>
      </c>
      <c r="U105" s="2">
        <v>1983</v>
      </c>
      <c r="V105" s="2">
        <v>4</v>
      </c>
      <c r="W105" s="16">
        <f t="shared" si="7"/>
        <v>862530</v>
      </c>
      <c r="X105" s="64">
        <v>773408</v>
      </c>
      <c r="Y105" s="64">
        <v>79968</v>
      </c>
      <c r="Z105" s="23">
        <v>2387</v>
      </c>
      <c r="AA105" s="23">
        <v>1373</v>
      </c>
      <c r="AB105" s="23">
        <v>5267</v>
      </c>
      <c r="AC105" s="23">
        <v>106</v>
      </c>
      <c r="AD105" s="23">
        <v>21</v>
      </c>
      <c r="AE105" s="20">
        <f t="shared" si="13"/>
        <v>127</v>
      </c>
      <c r="AF105" s="20">
        <f t="shared" si="8"/>
        <v>862403</v>
      </c>
    </row>
    <row r="106" spans="1:32">
      <c r="A106" s="2">
        <v>1983</v>
      </c>
      <c r="B106" s="2">
        <v>5</v>
      </c>
      <c r="C106" s="16">
        <f t="shared" si="5"/>
        <v>1330375</v>
      </c>
      <c r="D106" s="17">
        <v>478363</v>
      </c>
      <c r="E106" s="17">
        <v>309175</v>
      </c>
      <c r="F106" s="18">
        <v>185688</v>
      </c>
      <c r="G106" s="18">
        <v>58337</v>
      </c>
      <c r="H106" s="19">
        <f t="shared" si="6"/>
        <v>127351</v>
      </c>
      <c r="I106" s="18">
        <v>1358</v>
      </c>
      <c r="J106" s="18">
        <v>86858</v>
      </c>
      <c r="K106" s="18">
        <v>155613</v>
      </c>
      <c r="L106" s="18">
        <v>113320</v>
      </c>
      <c r="M106" s="65">
        <v>1006350</v>
      </c>
      <c r="N106" s="20">
        <f t="shared" si="9"/>
        <v>217158</v>
      </c>
      <c r="O106" s="20">
        <f t="shared" si="10"/>
        <v>1547533</v>
      </c>
      <c r="P106" s="65">
        <v>11068</v>
      </c>
      <c r="Q106" s="20">
        <f t="shared" si="11"/>
        <v>144438</v>
      </c>
      <c r="R106" s="24">
        <v>1703039</v>
      </c>
      <c r="S106" s="25">
        <f t="shared" si="12"/>
        <v>8.4811915640217284E-2</v>
      </c>
      <c r="U106" s="2">
        <v>1983</v>
      </c>
      <c r="V106" s="2">
        <v>5</v>
      </c>
      <c r="W106" s="16">
        <f t="shared" si="7"/>
        <v>851408</v>
      </c>
      <c r="X106" s="64">
        <v>761979</v>
      </c>
      <c r="Y106" s="64">
        <v>80214</v>
      </c>
      <c r="Z106" s="23">
        <v>2390</v>
      </c>
      <c r="AA106" s="23">
        <v>1383</v>
      </c>
      <c r="AB106" s="23">
        <v>5313</v>
      </c>
      <c r="AC106" s="23">
        <v>107</v>
      </c>
      <c r="AD106" s="23">
        <v>22</v>
      </c>
      <c r="AE106" s="20">
        <f t="shared" si="13"/>
        <v>129</v>
      </c>
      <c r="AF106" s="20">
        <f t="shared" si="8"/>
        <v>851279</v>
      </c>
    </row>
    <row r="107" spans="1:32">
      <c r="A107" s="2">
        <v>1983</v>
      </c>
      <c r="B107" s="2">
        <v>6</v>
      </c>
      <c r="C107" s="16">
        <f t="shared" si="5"/>
        <v>1634204</v>
      </c>
      <c r="D107" s="17">
        <v>617980</v>
      </c>
      <c r="E107" s="17">
        <v>373698</v>
      </c>
      <c r="F107" s="18">
        <v>230840</v>
      </c>
      <c r="G107" s="18">
        <v>86034</v>
      </c>
      <c r="H107" s="19">
        <f t="shared" si="6"/>
        <v>144806</v>
      </c>
      <c r="I107" s="18">
        <v>1363</v>
      </c>
      <c r="J107" s="18">
        <v>102525</v>
      </c>
      <c r="K107" s="18">
        <v>181656</v>
      </c>
      <c r="L107" s="18">
        <v>126142</v>
      </c>
      <c r="M107" s="65">
        <v>1154652</v>
      </c>
      <c r="N107" s="20">
        <f t="shared" si="9"/>
        <v>148302</v>
      </c>
      <c r="O107" s="20">
        <f t="shared" si="10"/>
        <v>1782506</v>
      </c>
      <c r="P107" s="65">
        <v>12709</v>
      </c>
      <c r="Q107" s="20">
        <f t="shared" si="11"/>
        <v>132056</v>
      </c>
      <c r="R107" s="24">
        <v>1927271</v>
      </c>
      <c r="S107" s="25">
        <f t="shared" si="12"/>
        <v>6.8519684050660237E-2</v>
      </c>
      <c r="U107" s="2">
        <v>1983</v>
      </c>
      <c r="V107" s="2">
        <v>6</v>
      </c>
      <c r="W107" s="16">
        <f t="shared" si="7"/>
        <v>848809</v>
      </c>
      <c r="X107" s="64">
        <v>758791</v>
      </c>
      <c r="Y107" s="64">
        <v>80750</v>
      </c>
      <c r="Z107" s="23">
        <v>2406</v>
      </c>
      <c r="AA107" s="23">
        <v>1388</v>
      </c>
      <c r="AB107" s="23">
        <v>5346</v>
      </c>
      <c r="AC107" s="23">
        <v>107</v>
      </c>
      <c r="AD107" s="23">
        <v>21</v>
      </c>
      <c r="AE107" s="20">
        <f t="shared" si="13"/>
        <v>128</v>
      </c>
      <c r="AF107" s="20">
        <f t="shared" si="8"/>
        <v>848681</v>
      </c>
    </row>
    <row r="108" spans="1:32">
      <c r="A108" s="2">
        <v>1983</v>
      </c>
      <c r="B108" s="2">
        <v>7</v>
      </c>
      <c r="C108" s="16">
        <f t="shared" si="5"/>
        <v>1919664</v>
      </c>
      <c r="D108" s="17">
        <v>806684</v>
      </c>
      <c r="E108" s="17">
        <v>415178</v>
      </c>
      <c r="F108" s="18">
        <v>223332</v>
      </c>
      <c r="G108" s="18">
        <v>84591</v>
      </c>
      <c r="H108" s="19">
        <f t="shared" si="6"/>
        <v>138741</v>
      </c>
      <c r="I108" s="18">
        <v>1365</v>
      </c>
      <c r="J108" s="18">
        <v>99279</v>
      </c>
      <c r="K108" s="18">
        <v>219668</v>
      </c>
      <c r="L108" s="18">
        <v>154158</v>
      </c>
      <c r="M108" s="65">
        <v>1203150</v>
      </c>
      <c r="N108" s="20">
        <f t="shared" si="9"/>
        <v>48498</v>
      </c>
      <c r="O108" s="20">
        <f t="shared" si="10"/>
        <v>1968162</v>
      </c>
      <c r="P108" s="65">
        <v>23827</v>
      </c>
      <c r="Q108" s="20">
        <f t="shared" si="11"/>
        <v>194112</v>
      </c>
      <c r="R108" s="24">
        <v>2186101</v>
      </c>
      <c r="S108" s="25">
        <f t="shared" si="12"/>
        <v>8.8793701663372374E-2</v>
      </c>
      <c r="U108" s="2">
        <v>1983</v>
      </c>
      <c r="V108" s="2">
        <v>7</v>
      </c>
      <c r="W108" s="16">
        <f t="shared" si="7"/>
        <v>850468</v>
      </c>
      <c r="X108" s="64">
        <v>759822</v>
      </c>
      <c r="Y108" s="64">
        <v>81370</v>
      </c>
      <c r="Z108" s="23">
        <v>2409</v>
      </c>
      <c r="AA108" s="23">
        <v>1396</v>
      </c>
      <c r="AB108" s="23">
        <v>5343</v>
      </c>
      <c r="AC108" s="23">
        <v>107</v>
      </c>
      <c r="AD108" s="23">
        <v>21</v>
      </c>
      <c r="AE108" s="20">
        <f t="shared" si="13"/>
        <v>128</v>
      </c>
      <c r="AF108" s="20">
        <f t="shared" si="8"/>
        <v>850340</v>
      </c>
    </row>
    <row r="109" spans="1:32">
      <c r="A109" s="2">
        <v>1983</v>
      </c>
      <c r="B109" s="2">
        <v>8</v>
      </c>
      <c r="C109" s="16">
        <f t="shared" si="5"/>
        <v>1954158</v>
      </c>
      <c r="D109" s="17">
        <v>845238</v>
      </c>
      <c r="E109" s="17">
        <v>409453</v>
      </c>
      <c r="F109" s="18">
        <v>227195</v>
      </c>
      <c r="G109" s="18">
        <v>97091</v>
      </c>
      <c r="H109" s="19">
        <f t="shared" si="6"/>
        <v>130104</v>
      </c>
      <c r="I109" s="18">
        <v>1353</v>
      </c>
      <c r="J109" s="18">
        <v>94213</v>
      </c>
      <c r="K109" s="18">
        <v>227417</v>
      </c>
      <c r="L109" s="18">
        <v>149289</v>
      </c>
      <c r="M109" s="65">
        <v>1239945</v>
      </c>
      <c r="N109" s="20">
        <f t="shared" si="9"/>
        <v>36795</v>
      </c>
      <c r="O109" s="20">
        <f t="shared" si="10"/>
        <v>1990953</v>
      </c>
      <c r="P109" s="65">
        <v>19641</v>
      </c>
      <c r="Q109" s="20">
        <f t="shared" si="11"/>
        <v>193629</v>
      </c>
      <c r="R109" s="24">
        <v>2204223</v>
      </c>
      <c r="S109" s="25">
        <f t="shared" si="12"/>
        <v>8.7844560191958798E-2</v>
      </c>
      <c r="U109" s="2">
        <v>1983</v>
      </c>
      <c r="V109" s="2">
        <v>8</v>
      </c>
      <c r="W109" s="16">
        <f t="shared" si="7"/>
        <v>852593</v>
      </c>
      <c r="X109" s="64">
        <v>761268</v>
      </c>
      <c r="Y109" s="64">
        <v>81994</v>
      </c>
      <c r="Z109" s="23">
        <v>2409</v>
      </c>
      <c r="AA109" s="23">
        <v>1407</v>
      </c>
      <c r="AB109" s="23">
        <v>5387</v>
      </c>
      <c r="AC109" s="23">
        <v>107</v>
      </c>
      <c r="AD109" s="23">
        <v>21</v>
      </c>
      <c r="AE109" s="20">
        <f t="shared" si="13"/>
        <v>128</v>
      </c>
      <c r="AF109" s="20">
        <f t="shared" si="8"/>
        <v>852465</v>
      </c>
    </row>
    <row r="110" spans="1:32">
      <c r="A110" s="2">
        <v>1983</v>
      </c>
      <c r="B110" s="2">
        <v>9</v>
      </c>
      <c r="C110" s="16">
        <f t="shared" si="5"/>
        <v>2011757</v>
      </c>
      <c r="D110" s="17">
        <v>867320</v>
      </c>
      <c r="E110" s="17">
        <v>414279</v>
      </c>
      <c r="F110" s="18">
        <v>235351</v>
      </c>
      <c r="G110" s="18">
        <v>101961</v>
      </c>
      <c r="H110" s="19">
        <f t="shared" si="6"/>
        <v>133390</v>
      </c>
      <c r="I110" s="18">
        <v>1368</v>
      </c>
      <c r="J110" s="18">
        <v>105798</v>
      </c>
      <c r="K110" s="18">
        <v>241869</v>
      </c>
      <c r="L110" s="18">
        <v>145772</v>
      </c>
      <c r="M110" s="65">
        <v>915723</v>
      </c>
      <c r="N110" s="20">
        <f t="shared" ref="N110:N141" si="14">(M110-M109)</f>
        <v>-324222</v>
      </c>
      <c r="O110" s="20">
        <f t="shared" ref="O110:O141" si="15">(C110+N110)</f>
        <v>1687535</v>
      </c>
      <c r="P110" s="65">
        <v>13492</v>
      </c>
      <c r="Q110" s="20">
        <f t="shared" ref="Q110:Q141" si="16">(R110-O110-P110)</f>
        <v>197023</v>
      </c>
      <c r="R110" s="24">
        <v>1898050</v>
      </c>
      <c r="S110" s="25">
        <f t="shared" ref="S110:S141" si="17">(Q110/R110)</f>
        <v>0.10380285029372251</v>
      </c>
      <c r="U110" s="2">
        <v>1983</v>
      </c>
      <c r="V110" s="2">
        <v>9</v>
      </c>
      <c r="W110" s="16">
        <f t="shared" si="7"/>
        <v>856240</v>
      </c>
      <c r="X110" s="64">
        <v>764420</v>
      </c>
      <c r="Y110" s="64">
        <v>82331</v>
      </c>
      <c r="Z110" s="23">
        <v>2416</v>
      </c>
      <c r="AA110" s="23">
        <v>1420</v>
      </c>
      <c r="AB110" s="23">
        <v>5524</v>
      </c>
      <c r="AC110" s="23">
        <v>107</v>
      </c>
      <c r="AD110" s="23">
        <v>22</v>
      </c>
      <c r="AE110" s="20">
        <f t="shared" si="13"/>
        <v>129</v>
      </c>
      <c r="AF110" s="20">
        <f t="shared" si="8"/>
        <v>856111</v>
      </c>
    </row>
    <row r="111" spans="1:32">
      <c r="A111" s="2">
        <v>1983</v>
      </c>
      <c r="B111" s="2">
        <v>10</v>
      </c>
      <c r="C111" s="16">
        <f t="shared" si="5"/>
        <v>1695110</v>
      </c>
      <c r="D111" s="17">
        <v>649716</v>
      </c>
      <c r="E111" s="17">
        <v>370326</v>
      </c>
      <c r="F111" s="18">
        <v>239695</v>
      </c>
      <c r="G111" s="18">
        <v>107106</v>
      </c>
      <c r="H111" s="19">
        <f t="shared" si="6"/>
        <v>132589</v>
      </c>
      <c r="I111" s="18">
        <v>1362</v>
      </c>
      <c r="J111" s="18">
        <v>105986</v>
      </c>
      <c r="K111" s="18">
        <v>194396</v>
      </c>
      <c r="L111" s="18">
        <v>133629</v>
      </c>
      <c r="M111" s="65">
        <v>1004745</v>
      </c>
      <c r="N111" s="20">
        <f t="shared" si="14"/>
        <v>89022</v>
      </c>
      <c r="O111" s="20">
        <f t="shared" si="15"/>
        <v>1784132</v>
      </c>
      <c r="P111" s="65">
        <v>21549</v>
      </c>
      <c r="Q111" s="20">
        <f t="shared" si="16"/>
        <v>-23052</v>
      </c>
      <c r="R111" s="24">
        <v>1782629</v>
      </c>
      <c r="S111" s="25">
        <f t="shared" si="17"/>
        <v>-1.2931462463586086E-2</v>
      </c>
      <c r="U111" s="2">
        <v>1983</v>
      </c>
      <c r="V111" s="2">
        <v>10</v>
      </c>
      <c r="W111" s="16">
        <f t="shared" si="7"/>
        <v>862621</v>
      </c>
      <c r="X111" s="64">
        <v>769725</v>
      </c>
      <c r="Y111" s="64">
        <v>83347</v>
      </c>
      <c r="Z111" s="23">
        <v>2443</v>
      </c>
      <c r="AA111" s="23">
        <v>1423</v>
      </c>
      <c r="AB111" s="23">
        <v>5554</v>
      </c>
      <c r="AC111" s="23">
        <v>107</v>
      </c>
      <c r="AD111" s="23">
        <v>22</v>
      </c>
      <c r="AE111" s="20">
        <f t="shared" si="13"/>
        <v>129</v>
      </c>
      <c r="AF111" s="20">
        <f t="shared" si="8"/>
        <v>862492</v>
      </c>
    </row>
    <row r="112" spans="1:32">
      <c r="A112" s="2">
        <v>1983</v>
      </c>
      <c r="B112" s="2">
        <v>11</v>
      </c>
      <c r="C112" s="16">
        <f t="shared" si="5"/>
        <v>1501920</v>
      </c>
      <c r="D112" s="17">
        <v>545605</v>
      </c>
      <c r="E112" s="17">
        <v>342386</v>
      </c>
      <c r="F112" s="18">
        <v>234215</v>
      </c>
      <c r="G112" s="18">
        <v>108534</v>
      </c>
      <c r="H112" s="19">
        <f t="shared" si="6"/>
        <v>125681</v>
      </c>
      <c r="I112" s="18">
        <v>1340</v>
      </c>
      <c r="J112" s="18">
        <v>97853</v>
      </c>
      <c r="K112" s="18">
        <v>163457</v>
      </c>
      <c r="L112" s="18">
        <v>117064</v>
      </c>
      <c r="M112" s="65">
        <v>866032</v>
      </c>
      <c r="N112" s="20">
        <f t="shared" si="14"/>
        <v>-138713</v>
      </c>
      <c r="O112" s="20">
        <f t="shared" si="15"/>
        <v>1363207</v>
      </c>
      <c r="P112" s="65">
        <v>19205</v>
      </c>
      <c r="Q112" s="20">
        <f t="shared" si="16"/>
        <v>147211</v>
      </c>
      <c r="R112" s="24">
        <v>1529623</v>
      </c>
      <c r="S112" s="25">
        <f t="shared" si="17"/>
        <v>9.6240053921783336E-2</v>
      </c>
      <c r="U112" s="2">
        <v>1983</v>
      </c>
      <c r="V112" s="2">
        <v>11</v>
      </c>
      <c r="W112" s="16">
        <f t="shared" si="7"/>
        <v>875544</v>
      </c>
      <c r="X112" s="64">
        <v>782124</v>
      </c>
      <c r="Y112" s="64">
        <v>83828</v>
      </c>
      <c r="Z112" s="23">
        <v>2456</v>
      </c>
      <c r="AA112" s="23">
        <v>1425</v>
      </c>
      <c r="AB112" s="23">
        <v>5583</v>
      </c>
      <c r="AC112" s="23">
        <v>106</v>
      </c>
      <c r="AD112" s="23">
        <v>22</v>
      </c>
      <c r="AE112" s="20">
        <f t="shared" si="13"/>
        <v>128</v>
      </c>
      <c r="AF112" s="20">
        <f t="shared" si="8"/>
        <v>875416</v>
      </c>
    </row>
    <row r="113" spans="1:32">
      <c r="A113" s="2">
        <v>1983</v>
      </c>
      <c r="B113" s="2">
        <v>12</v>
      </c>
      <c r="C113" s="16">
        <f t="shared" si="5"/>
        <v>1521010</v>
      </c>
      <c r="D113" s="17">
        <v>575012</v>
      </c>
      <c r="E113" s="17">
        <v>324532</v>
      </c>
      <c r="F113" s="18">
        <v>234903</v>
      </c>
      <c r="G113" s="18">
        <v>109132</v>
      </c>
      <c r="H113" s="19">
        <f t="shared" si="6"/>
        <v>125771</v>
      </c>
      <c r="I113" s="18">
        <v>1347</v>
      </c>
      <c r="J113" s="18">
        <v>91559</v>
      </c>
      <c r="K113" s="18">
        <v>178718</v>
      </c>
      <c r="L113" s="18">
        <v>114939</v>
      </c>
      <c r="M113" s="65">
        <v>1139695</v>
      </c>
      <c r="N113" s="20">
        <f t="shared" si="14"/>
        <v>273663</v>
      </c>
      <c r="O113" s="20">
        <f t="shared" si="15"/>
        <v>1794673</v>
      </c>
      <c r="P113" s="65">
        <v>10664</v>
      </c>
      <c r="Q113" s="20">
        <f t="shared" si="16"/>
        <v>100673</v>
      </c>
      <c r="R113" s="24">
        <v>1906010</v>
      </c>
      <c r="S113" s="25">
        <f t="shared" si="17"/>
        <v>5.2818715536644613E-2</v>
      </c>
      <c r="U113" s="2">
        <v>1983</v>
      </c>
      <c r="V113" s="2">
        <v>12</v>
      </c>
      <c r="W113" s="16">
        <f t="shared" si="7"/>
        <v>887001</v>
      </c>
      <c r="X113" s="64">
        <v>792830</v>
      </c>
      <c r="Y113" s="64">
        <v>84527</v>
      </c>
      <c r="Z113" s="23">
        <v>2465</v>
      </c>
      <c r="AA113" s="23">
        <v>1429</v>
      </c>
      <c r="AB113" s="23">
        <v>5621</v>
      </c>
      <c r="AC113" s="23">
        <v>107</v>
      </c>
      <c r="AD113" s="23">
        <v>22</v>
      </c>
      <c r="AE113" s="20">
        <f t="shared" si="13"/>
        <v>129</v>
      </c>
      <c r="AF113" s="20">
        <f t="shared" si="8"/>
        <v>886872</v>
      </c>
    </row>
    <row r="114" spans="1:32">
      <c r="A114" s="2">
        <v>1984</v>
      </c>
      <c r="B114" s="2">
        <v>1</v>
      </c>
      <c r="C114" s="16">
        <f t="shared" si="5"/>
        <v>1995761</v>
      </c>
      <c r="D114" s="17">
        <v>922109</v>
      </c>
      <c r="E114" s="17">
        <v>343263</v>
      </c>
      <c r="F114" s="18">
        <v>231641</v>
      </c>
      <c r="G114" s="18">
        <v>95255</v>
      </c>
      <c r="H114" s="19">
        <f t="shared" si="6"/>
        <v>136386</v>
      </c>
      <c r="I114" s="18">
        <v>1351</v>
      </c>
      <c r="J114" s="18">
        <v>86319</v>
      </c>
      <c r="K114" s="18">
        <v>268843</v>
      </c>
      <c r="L114" s="18">
        <v>142235</v>
      </c>
      <c r="M114" s="65">
        <v>1119956</v>
      </c>
      <c r="N114" s="20">
        <f t="shared" si="14"/>
        <v>-19739</v>
      </c>
      <c r="O114" s="20">
        <f t="shared" si="15"/>
        <v>1976022</v>
      </c>
      <c r="P114" s="65">
        <v>10864</v>
      </c>
      <c r="Q114" s="20">
        <f t="shared" si="16"/>
        <v>126930</v>
      </c>
      <c r="R114" s="24">
        <v>2113816</v>
      </c>
      <c r="S114" s="25">
        <f t="shared" si="17"/>
        <v>6.0047799808497997E-2</v>
      </c>
      <c r="U114" s="2">
        <v>1984</v>
      </c>
      <c r="V114" s="2">
        <v>1</v>
      </c>
      <c r="W114" s="16">
        <f t="shared" si="7"/>
        <v>895098</v>
      </c>
      <c r="X114" s="64">
        <v>800673</v>
      </c>
      <c r="Y114" s="64">
        <v>84730</v>
      </c>
      <c r="Z114" s="23">
        <v>2470</v>
      </c>
      <c r="AA114" s="23">
        <v>1439</v>
      </c>
      <c r="AB114" s="23">
        <v>5656</v>
      </c>
      <c r="AC114" s="23">
        <v>108</v>
      </c>
      <c r="AD114" s="23">
        <v>22</v>
      </c>
      <c r="AE114" s="20">
        <f t="shared" si="13"/>
        <v>130</v>
      </c>
      <c r="AF114" s="20">
        <f t="shared" si="8"/>
        <v>894968</v>
      </c>
    </row>
    <row r="115" spans="1:32">
      <c r="A115" s="2">
        <v>1984</v>
      </c>
      <c r="B115" s="2">
        <v>2</v>
      </c>
      <c r="C115" s="16">
        <f t="shared" si="5"/>
        <v>1697569</v>
      </c>
      <c r="D115" s="17">
        <v>780306</v>
      </c>
      <c r="E115" s="17">
        <v>314479</v>
      </c>
      <c r="F115" s="18">
        <v>240835</v>
      </c>
      <c r="G115" s="18">
        <v>107727</v>
      </c>
      <c r="H115" s="19">
        <f t="shared" si="6"/>
        <v>133108</v>
      </c>
      <c r="I115" s="18">
        <v>1299</v>
      </c>
      <c r="J115" s="18">
        <v>88783</v>
      </c>
      <c r="K115" s="18">
        <v>150286</v>
      </c>
      <c r="L115" s="18">
        <v>121581</v>
      </c>
      <c r="M115" s="65">
        <v>807731</v>
      </c>
      <c r="N115" s="20">
        <f t="shared" si="14"/>
        <v>-312225</v>
      </c>
      <c r="O115" s="20">
        <f t="shared" si="15"/>
        <v>1385344</v>
      </c>
      <c r="P115" s="65">
        <v>12025</v>
      </c>
      <c r="Q115" s="20">
        <f t="shared" si="16"/>
        <v>155370</v>
      </c>
      <c r="R115" s="24">
        <v>1552739</v>
      </c>
      <c r="S115" s="25">
        <f t="shared" si="17"/>
        <v>0.10006189063326161</v>
      </c>
      <c r="U115" s="2">
        <v>1984</v>
      </c>
      <c r="V115" s="2">
        <v>2</v>
      </c>
      <c r="W115" s="16">
        <f t="shared" si="7"/>
        <v>901545</v>
      </c>
      <c r="X115" s="64">
        <v>806879</v>
      </c>
      <c r="Y115" s="64">
        <v>84934</v>
      </c>
      <c r="Z115" s="23">
        <v>2474</v>
      </c>
      <c r="AA115" s="23">
        <v>1448</v>
      </c>
      <c r="AB115" s="23">
        <v>5681</v>
      </c>
      <c r="AC115" s="23">
        <v>107</v>
      </c>
      <c r="AD115" s="23">
        <v>22</v>
      </c>
      <c r="AE115" s="20">
        <f t="shared" si="13"/>
        <v>129</v>
      </c>
      <c r="AF115" s="20">
        <f t="shared" si="8"/>
        <v>901416</v>
      </c>
    </row>
    <row r="116" spans="1:32">
      <c r="A116" s="2">
        <v>1984</v>
      </c>
      <c r="B116" s="2">
        <v>3</v>
      </c>
      <c r="C116" s="16">
        <f t="shared" si="5"/>
        <v>1436428</v>
      </c>
      <c r="D116" s="17">
        <v>642028</v>
      </c>
      <c r="E116" s="17">
        <v>315424</v>
      </c>
      <c r="F116" s="18">
        <v>237158</v>
      </c>
      <c r="G116" s="18">
        <v>105972</v>
      </c>
      <c r="H116" s="19">
        <f t="shared" si="6"/>
        <v>131186</v>
      </c>
      <c r="I116" s="18">
        <v>1344</v>
      </c>
      <c r="J116" s="18">
        <v>86657</v>
      </c>
      <c r="K116" s="18">
        <v>41212</v>
      </c>
      <c r="L116" s="18">
        <v>112605</v>
      </c>
      <c r="M116" s="65">
        <v>853462</v>
      </c>
      <c r="N116" s="20">
        <f t="shared" si="14"/>
        <v>45731</v>
      </c>
      <c r="O116" s="20">
        <f t="shared" si="15"/>
        <v>1482159</v>
      </c>
      <c r="P116" s="65">
        <v>14071</v>
      </c>
      <c r="Q116" s="20">
        <f t="shared" si="16"/>
        <v>33964</v>
      </c>
      <c r="R116" s="24">
        <v>1530194</v>
      </c>
      <c r="S116" s="25">
        <f t="shared" si="17"/>
        <v>2.2195878431100893E-2</v>
      </c>
      <c r="U116" s="2">
        <v>1984</v>
      </c>
      <c r="V116" s="2">
        <v>3</v>
      </c>
      <c r="W116" s="16">
        <f t="shared" si="7"/>
        <v>902838</v>
      </c>
      <c r="X116" s="64">
        <v>807950</v>
      </c>
      <c r="Y116" s="64">
        <v>85137</v>
      </c>
      <c r="Z116" s="23">
        <v>2479</v>
      </c>
      <c r="AA116" s="23">
        <v>1458</v>
      </c>
      <c r="AB116" s="23">
        <v>5723</v>
      </c>
      <c r="AC116" s="23">
        <v>70</v>
      </c>
      <c r="AD116" s="23">
        <v>21</v>
      </c>
      <c r="AE116" s="20">
        <f t="shared" si="13"/>
        <v>91</v>
      </c>
      <c r="AF116" s="20">
        <f t="shared" si="8"/>
        <v>902747</v>
      </c>
    </row>
    <row r="117" spans="1:32">
      <c r="A117" s="2">
        <v>1984</v>
      </c>
      <c r="B117" s="2">
        <v>4</v>
      </c>
      <c r="C117" s="16">
        <f t="shared" si="5"/>
        <v>1306472</v>
      </c>
      <c r="D117" s="17">
        <v>536150</v>
      </c>
      <c r="E117" s="17">
        <v>322608</v>
      </c>
      <c r="F117" s="18">
        <v>237473</v>
      </c>
      <c r="G117" s="18">
        <v>108416</v>
      </c>
      <c r="H117" s="19">
        <f t="shared" si="6"/>
        <v>129057</v>
      </c>
      <c r="I117" s="18">
        <v>1347</v>
      </c>
      <c r="J117" s="18">
        <v>87680</v>
      </c>
      <c r="K117" s="18">
        <v>8688</v>
      </c>
      <c r="L117" s="18">
        <v>112526</v>
      </c>
      <c r="M117" s="65">
        <v>835027</v>
      </c>
      <c r="N117" s="20">
        <f t="shared" si="14"/>
        <v>-18435</v>
      </c>
      <c r="O117" s="20">
        <f t="shared" si="15"/>
        <v>1288037</v>
      </c>
      <c r="P117" s="65">
        <v>18547</v>
      </c>
      <c r="Q117" s="20">
        <f t="shared" si="16"/>
        <v>124735</v>
      </c>
      <c r="R117" s="24">
        <v>1431319</v>
      </c>
      <c r="S117" s="25">
        <f t="shared" si="17"/>
        <v>8.714689038572114E-2</v>
      </c>
      <c r="U117" s="2">
        <v>1984</v>
      </c>
      <c r="V117" s="2">
        <v>4</v>
      </c>
      <c r="W117" s="16">
        <f t="shared" si="7"/>
        <v>900889</v>
      </c>
      <c r="X117" s="64">
        <v>805361</v>
      </c>
      <c r="Y117" s="64">
        <v>85752</v>
      </c>
      <c r="Z117" s="23">
        <v>2514</v>
      </c>
      <c r="AA117" s="23">
        <v>1469</v>
      </c>
      <c r="AB117" s="23">
        <v>5770</v>
      </c>
      <c r="AC117" s="23">
        <v>1</v>
      </c>
      <c r="AD117" s="23">
        <v>22</v>
      </c>
      <c r="AE117" s="20">
        <f t="shared" si="13"/>
        <v>23</v>
      </c>
      <c r="AF117" s="20">
        <f t="shared" si="8"/>
        <v>900866</v>
      </c>
    </row>
    <row r="118" spans="1:32">
      <c r="A118" s="2">
        <v>1984</v>
      </c>
      <c r="B118" s="2">
        <v>5</v>
      </c>
      <c r="C118" s="16">
        <f t="shared" si="5"/>
        <v>1427902</v>
      </c>
      <c r="D118" s="17">
        <v>575735</v>
      </c>
      <c r="E118" s="17">
        <v>371986</v>
      </c>
      <c r="F118" s="18">
        <v>252122</v>
      </c>
      <c r="G118" s="18">
        <v>105482</v>
      </c>
      <c r="H118" s="19">
        <f t="shared" si="6"/>
        <v>146640</v>
      </c>
      <c r="I118" s="18">
        <v>1379</v>
      </c>
      <c r="J118" s="18">
        <v>98608</v>
      </c>
      <c r="K118" s="18">
        <v>2759</v>
      </c>
      <c r="L118" s="18">
        <v>125313</v>
      </c>
      <c r="M118" s="65">
        <v>995736</v>
      </c>
      <c r="N118" s="20">
        <f t="shared" si="14"/>
        <v>160709</v>
      </c>
      <c r="O118" s="20">
        <f t="shared" si="15"/>
        <v>1588611</v>
      </c>
      <c r="P118" s="65">
        <v>14685</v>
      </c>
      <c r="Q118" s="20">
        <f t="shared" si="16"/>
        <v>69362</v>
      </c>
      <c r="R118" s="24">
        <v>1672658</v>
      </c>
      <c r="S118" s="25">
        <f t="shared" si="17"/>
        <v>4.146813036496403E-2</v>
      </c>
      <c r="U118" s="2">
        <v>1984</v>
      </c>
      <c r="V118" s="2">
        <v>5</v>
      </c>
      <c r="W118" s="16">
        <f t="shared" si="7"/>
        <v>890742</v>
      </c>
      <c r="X118" s="64">
        <v>794783</v>
      </c>
      <c r="Y118" s="64">
        <v>86127</v>
      </c>
      <c r="Z118" s="23">
        <v>2519</v>
      </c>
      <c r="AA118" s="23">
        <v>1485</v>
      </c>
      <c r="AB118" s="23">
        <v>5805</v>
      </c>
      <c r="AC118" s="23">
        <v>1</v>
      </c>
      <c r="AD118" s="23">
        <v>22</v>
      </c>
      <c r="AE118" s="20">
        <f t="shared" si="13"/>
        <v>23</v>
      </c>
      <c r="AF118" s="20">
        <f t="shared" si="8"/>
        <v>890719</v>
      </c>
    </row>
    <row r="119" spans="1:32">
      <c r="A119" s="2">
        <v>1984</v>
      </c>
      <c r="B119" s="2">
        <v>6</v>
      </c>
      <c r="C119" s="16">
        <f t="shared" si="5"/>
        <v>1538608</v>
      </c>
      <c r="D119" s="17">
        <v>647836</v>
      </c>
      <c r="E119" s="17">
        <v>400841</v>
      </c>
      <c r="F119" s="18">
        <v>247984</v>
      </c>
      <c r="G119" s="18">
        <v>109365</v>
      </c>
      <c r="H119" s="19">
        <f t="shared" si="6"/>
        <v>138619</v>
      </c>
      <c r="I119" s="18">
        <v>1347</v>
      </c>
      <c r="J119" s="18">
        <v>103508</v>
      </c>
      <c r="K119" s="18">
        <v>0</v>
      </c>
      <c r="L119" s="18">
        <v>137092</v>
      </c>
      <c r="M119" s="65">
        <v>1131300</v>
      </c>
      <c r="N119" s="20">
        <f t="shared" si="14"/>
        <v>135564</v>
      </c>
      <c r="O119" s="20">
        <f t="shared" si="15"/>
        <v>1674172</v>
      </c>
      <c r="P119" s="65">
        <v>16409</v>
      </c>
      <c r="Q119" s="20">
        <f t="shared" si="16"/>
        <v>137832</v>
      </c>
      <c r="R119" s="24">
        <v>1828413</v>
      </c>
      <c r="S119" s="25">
        <f t="shared" si="17"/>
        <v>7.5383406265433467E-2</v>
      </c>
      <c r="U119" s="2">
        <v>1984</v>
      </c>
      <c r="V119" s="2">
        <v>6</v>
      </c>
      <c r="W119" s="16">
        <f t="shared" si="7"/>
        <v>887933</v>
      </c>
      <c r="X119" s="64">
        <v>791443</v>
      </c>
      <c r="Y119" s="64">
        <v>86618</v>
      </c>
      <c r="Z119" s="23">
        <v>2522</v>
      </c>
      <c r="AA119" s="23">
        <v>1500</v>
      </c>
      <c r="AB119" s="23">
        <v>5827</v>
      </c>
      <c r="AC119" s="23">
        <v>1</v>
      </c>
      <c r="AD119" s="23">
        <v>22</v>
      </c>
      <c r="AE119" s="20">
        <f t="shared" si="13"/>
        <v>23</v>
      </c>
      <c r="AF119" s="20">
        <f t="shared" si="8"/>
        <v>887910</v>
      </c>
    </row>
    <row r="120" spans="1:32">
      <c r="A120" s="2">
        <v>1984</v>
      </c>
      <c r="B120" s="2">
        <v>7</v>
      </c>
      <c r="C120" s="16">
        <f t="shared" si="5"/>
        <v>1728043</v>
      </c>
      <c r="D120" s="17">
        <v>793896</v>
      </c>
      <c r="E120" s="17">
        <v>432370</v>
      </c>
      <c r="F120" s="18">
        <v>247530</v>
      </c>
      <c r="G120" s="18">
        <v>112029</v>
      </c>
      <c r="H120" s="19">
        <f t="shared" si="6"/>
        <v>135501</v>
      </c>
      <c r="I120" s="18">
        <v>1368</v>
      </c>
      <c r="J120" s="18">
        <v>99912</v>
      </c>
      <c r="K120" s="18">
        <v>860</v>
      </c>
      <c r="L120" s="18">
        <v>152107</v>
      </c>
      <c r="M120" s="65">
        <v>1121242</v>
      </c>
      <c r="N120" s="20">
        <f t="shared" si="14"/>
        <v>-10058</v>
      </c>
      <c r="O120" s="20">
        <f t="shared" si="15"/>
        <v>1717985</v>
      </c>
      <c r="P120" s="65">
        <v>17891</v>
      </c>
      <c r="Q120" s="20">
        <f t="shared" si="16"/>
        <v>182863</v>
      </c>
      <c r="R120" s="24">
        <v>1918739</v>
      </c>
      <c r="S120" s="25">
        <f t="shared" si="17"/>
        <v>9.5303738549120026E-2</v>
      </c>
      <c r="U120" s="2">
        <v>1984</v>
      </c>
      <c r="V120" s="2">
        <v>7</v>
      </c>
      <c r="W120" s="16">
        <f t="shared" si="7"/>
        <v>890135</v>
      </c>
      <c r="X120" s="64">
        <v>793289</v>
      </c>
      <c r="Y120" s="64">
        <v>86944</v>
      </c>
      <c r="Z120" s="23">
        <v>2541</v>
      </c>
      <c r="AA120" s="23">
        <v>1514</v>
      </c>
      <c r="AB120" s="23">
        <v>5824</v>
      </c>
      <c r="AC120" s="23">
        <v>1</v>
      </c>
      <c r="AD120" s="23">
        <v>22</v>
      </c>
      <c r="AE120" s="20">
        <f t="shared" si="13"/>
        <v>23</v>
      </c>
      <c r="AF120" s="20">
        <f t="shared" si="8"/>
        <v>890112</v>
      </c>
    </row>
    <row r="121" spans="1:32">
      <c r="A121" s="2">
        <v>1984</v>
      </c>
      <c r="B121" s="2">
        <v>8</v>
      </c>
      <c r="C121" s="16">
        <f t="shared" si="5"/>
        <v>1830998</v>
      </c>
      <c r="D121" s="17">
        <v>854320</v>
      </c>
      <c r="E121" s="17">
        <v>447933</v>
      </c>
      <c r="F121" s="18">
        <v>262553</v>
      </c>
      <c r="G121" s="18">
        <v>111637</v>
      </c>
      <c r="H121" s="19">
        <f t="shared" si="6"/>
        <v>150916</v>
      </c>
      <c r="I121" s="18">
        <v>1351</v>
      </c>
      <c r="J121" s="18">
        <v>99209</v>
      </c>
      <c r="K121" s="18">
        <v>5134</v>
      </c>
      <c r="L121" s="18">
        <v>160498</v>
      </c>
      <c r="M121" s="65">
        <v>1240801</v>
      </c>
      <c r="N121" s="20">
        <f t="shared" si="14"/>
        <v>119559</v>
      </c>
      <c r="O121" s="20">
        <f t="shared" si="15"/>
        <v>1950557</v>
      </c>
      <c r="P121" s="65">
        <v>16869</v>
      </c>
      <c r="Q121" s="20">
        <f t="shared" si="16"/>
        <v>104290</v>
      </c>
      <c r="R121" s="24">
        <v>2071716</v>
      </c>
      <c r="S121" s="25">
        <f t="shared" si="17"/>
        <v>5.0339911455044996E-2</v>
      </c>
      <c r="U121" s="2">
        <v>1984</v>
      </c>
      <c r="V121" s="2">
        <v>8</v>
      </c>
      <c r="W121" s="16">
        <f t="shared" si="7"/>
        <v>893261</v>
      </c>
      <c r="X121" s="64">
        <v>796120</v>
      </c>
      <c r="Y121" s="64">
        <v>87215</v>
      </c>
      <c r="Z121" s="23">
        <v>2538</v>
      </c>
      <c r="AA121" s="23">
        <v>1528</v>
      </c>
      <c r="AB121" s="23">
        <v>5837</v>
      </c>
      <c r="AC121" s="23">
        <v>1</v>
      </c>
      <c r="AD121" s="23">
        <v>22</v>
      </c>
      <c r="AE121" s="20">
        <f t="shared" si="13"/>
        <v>23</v>
      </c>
      <c r="AF121" s="20">
        <f t="shared" si="8"/>
        <v>893238</v>
      </c>
    </row>
    <row r="122" spans="1:32">
      <c r="A122" s="2">
        <v>1984</v>
      </c>
      <c r="B122" s="2">
        <v>9</v>
      </c>
      <c r="C122" s="16">
        <f t="shared" si="5"/>
        <v>1914999</v>
      </c>
      <c r="D122" s="17">
        <v>890766</v>
      </c>
      <c r="E122" s="17">
        <v>459478</v>
      </c>
      <c r="F122" s="18">
        <v>279060</v>
      </c>
      <c r="G122" s="18">
        <v>131153</v>
      </c>
      <c r="H122" s="19">
        <f t="shared" si="6"/>
        <v>147907</v>
      </c>
      <c r="I122" s="18">
        <v>1350</v>
      </c>
      <c r="J122" s="18">
        <v>114105</v>
      </c>
      <c r="K122" s="18">
        <v>6361</v>
      </c>
      <c r="L122" s="18">
        <v>163879</v>
      </c>
      <c r="M122" s="65">
        <v>902166</v>
      </c>
      <c r="N122" s="20">
        <f t="shared" si="14"/>
        <v>-338635</v>
      </c>
      <c r="O122" s="20">
        <f t="shared" si="15"/>
        <v>1576364</v>
      </c>
      <c r="P122" s="65">
        <v>20378</v>
      </c>
      <c r="Q122" s="20">
        <f t="shared" si="16"/>
        <v>171149</v>
      </c>
      <c r="R122" s="24">
        <v>1767891</v>
      </c>
      <c r="S122" s="25">
        <f t="shared" si="17"/>
        <v>9.6809701503090401E-2</v>
      </c>
      <c r="U122" s="2">
        <v>1984</v>
      </c>
      <c r="V122" s="2">
        <v>9</v>
      </c>
      <c r="W122" s="16">
        <f t="shared" si="7"/>
        <v>897800</v>
      </c>
      <c r="X122" s="64">
        <v>800204</v>
      </c>
      <c r="Y122" s="64">
        <v>87622</v>
      </c>
      <c r="Z122" s="23">
        <v>2542</v>
      </c>
      <c r="AA122" s="23">
        <v>1531</v>
      </c>
      <c r="AB122" s="23">
        <v>5879</v>
      </c>
      <c r="AC122" s="23">
        <v>1</v>
      </c>
      <c r="AD122" s="23">
        <v>21</v>
      </c>
      <c r="AE122" s="20">
        <f t="shared" si="13"/>
        <v>22</v>
      </c>
      <c r="AF122" s="20">
        <f t="shared" si="8"/>
        <v>897778</v>
      </c>
    </row>
    <row r="123" spans="1:32">
      <c r="A123" s="2">
        <v>1984</v>
      </c>
      <c r="B123" s="2">
        <v>10</v>
      </c>
      <c r="C123" s="16">
        <f t="shared" si="5"/>
        <v>1574821</v>
      </c>
      <c r="D123" s="17">
        <v>661484</v>
      </c>
      <c r="E123" s="17">
        <v>402294</v>
      </c>
      <c r="F123" s="18">
        <v>256324</v>
      </c>
      <c r="G123" s="18">
        <v>120335</v>
      </c>
      <c r="H123" s="19">
        <f t="shared" si="6"/>
        <v>135989</v>
      </c>
      <c r="I123" s="18">
        <v>1366</v>
      </c>
      <c r="J123" s="18">
        <v>109063</v>
      </c>
      <c r="K123" s="18">
        <v>16303</v>
      </c>
      <c r="L123" s="18">
        <v>127987</v>
      </c>
      <c r="M123" s="65">
        <v>906372</v>
      </c>
      <c r="N123" s="20">
        <f t="shared" si="14"/>
        <v>4206</v>
      </c>
      <c r="O123" s="20">
        <f t="shared" si="15"/>
        <v>1579027</v>
      </c>
      <c r="P123" s="65">
        <v>30561</v>
      </c>
      <c r="Q123" s="20">
        <f t="shared" si="16"/>
        <v>142621</v>
      </c>
      <c r="R123" s="24">
        <v>1752209</v>
      </c>
      <c r="S123" s="25">
        <f t="shared" si="17"/>
        <v>8.1394970577140055E-2</v>
      </c>
      <c r="U123" s="2">
        <v>1984</v>
      </c>
      <c r="V123" s="2">
        <v>10</v>
      </c>
      <c r="W123" s="16">
        <f t="shared" si="7"/>
        <v>903613</v>
      </c>
      <c r="X123" s="64">
        <v>805573</v>
      </c>
      <c r="Y123" s="64">
        <v>88036</v>
      </c>
      <c r="Z123" s="23">
        <v>2554</v>
      </c>
      <c r="AA123" s="23">
        <v>1539</v>
      </c>
      <c r="AB123" s="23">
        <v>5889</v>
      </c>
      <c r="AC123" s="23">
        <v>1</v>
      </c>
      <c r="AD123" s="23">
        <v>21</v>
      </c>
      <c r="AE123" s="20">
        <f t="shared" si="13"/>
        <v>22</v>
      </c>
      <c r="AF123" s="20">
        <f t="shared" si="8"/>
        <v>903591</v>
      </c>
    </row>
    <row r="124" spans="1:32">
      <c r="A124" s="2">
        <v>1984</v>
      </c>
      <c r="B124" s="2">
        <v>11</v>
      </c>
      <c r="C124" s="16">
        <f t="shared" si="5"/>
        <v>1525507</v>
      </c>
      <c r="D124" s="17">
        <v>615731</v>
      </c>
      <c r="E124" s="17">
        <v>395063</v>
      </c>
      <c r="F124" s="18">
        <v>270494</v>
      </c>
      <c r="G124" s="18">
        <v>123623</v>
      </c>
      <c r="H124" s="19">
        <f t="shared" si="6"/>
        <v>146871</v>
      </c>
      <c r="I124" s="18">
        <v>1362</v>
      </c>
      <c r="J124" s="18">
        <v>105376</v>
      </c>
      <c r="K124" s="18">
        <v>5928</v>
      </c>
      <c r="L124" s="18">
        <v>131553</v>
      </c>
      <c r="M124" s="65">
        <v>833848</v>
      </c>
      <c r="N124" s="20">
        <f t="shared" si="14"/>
        <v>-72524</v>
      </c>
      <c r="O124" s="20">
        <f t="shared" si="15"/>
        <v>1452983</v>
      </c>
      <c r="P124" s="65">
        <v>12381</v>
      </c>
      <c r="Q124" s="20">
        <f t="shared" si="16"/>
        <v>68740</v>
      </c>
      <c r="R124" s="24">
        <v>1534104</v>
      </c>
      <c r="S124" s="25">
        <f t="shared" si="17"/>
        <v>4.4807913935430717E-2</v>
      </c>
      <c r="U124" s="2">
        <v>1984</v>
      </c>
      <c r="V124" s="2">
        <v>11</v>
      </c>
      <c r="W124" s="16">
        <f t="shared" si="7"/>
        <v>917060</v>
      </c>
      <c r="X124" s="64">
        <v>818330</v>
      </c>
      <c r="Y124" s="64">
        <v>88684</v>
      </c>
      <c r="Z124" s="23">
        <v>2550</v>
      </c>
      <c r="AA124" s="23">
        <v>1553</v>
      </c>
      <c r="AB124" s="23">
        <v>5920</v>
      </c>
      <c r="AC124" s="23">
        <v>1</v>
      </c>
      <c r="AD124" s="23">
        <v>22</v>
      </c>
      <c r="AE124" s="20">
        <f t="shared" si="13"/>
        <v>23</v>
      </c>
      <c r="AF124" s="20">
        <f t="shared" si="8"/>
        <v>917037</v>
      </c>
    </row>
    <row r="125" spans="1:32">
      <c r="A125" s="2">
        <v>1984</v>
      </c>
      <c r="B125" s="2">
        <v>12</v>
      </c>
      <c r="C125" s="16">
        <f t="shared" si="5"/>
        <v>1416037</v>
      </c>
      <c r="D125" s="17">
        <v>633235</v>
      </c>
      <c r="E125" s="17">
        <v>341985</v>
      </c>
      <c r="F125" s="18">
        <v>225811</v>
      </c>
      <c r="G125" s="18">
        <v>100556</v>
      </c>
      <c r="H125" s="19">
        <f t="shared" si="6"/>
        <v>125255</v>
      </c>
      <c r="I125" s="18">
        <v>1354</v>
      </c>
      <c r="J125" s="18">
        <v>93305</v>
      </c>
      <c r="K125" s="18">
        <v>187</v>
      </c>
      <c r="L125" s="18">
        <v>120160</v>
      </c>
      <c r="M125" s="65">
        <v>892343</v>
      </c>
      <c r="N125" s="20">
        <f t="shared" si="14"/>
        <v>58495</v>
      </c>
      <c r="O125" s="20">
        <f t="shared" si="15"/>
        <v>1474532</v>
      </c>
      <c r="P125" s="65">
        <v>12999</v>
      </c>
      <c r="Q125" s="20">
        <f t="shared" si="16"/>
        <v>46787</v>
      </c>
      <c r="R125" s="24">
        <v>1534318</v>
      </c>
      <c r="S125" s="25">
        <f t="shared" si="17"/>
        <v>3.0493678624639742E-2</v>
      </c>
      <c r="U125" s="2">
        <v>1984</v>
      </c>
      <c r="V125" s="2">
        <v>12</v>
      </c>
      <c r="W125" s="16">
        <f t="shared" si="7"/>
        <v>928676</v>
      </c>
      <c r="X125" s="64">
        <v>829461</v>
      </c>
      <c r="Y125" s="64">
        <v>89125</v>
      </c>
      <c r="Z125" s="23">
        <v>2548</v>
      </c>
      <c r="AA125" s="23">
        <v>1570</v>
      </c>
      <c r="AB125" s="23">
        <v>5949</v>
      </c>
      <c r="AC125" s="23">
        <v>1</v>
      </c>
      <c r="AD125" s="23">
        <v>22</v>
      </c>
      <c r="AE125" s="20">
        <f t="shared" si="13"/>
        <v>23</v>
      </c>
      <c r="AF125" s="20">
        <f t="shared" si="8"/>
        <v>928653</v>
      </c>
    </row>
    <row r="126" spans="1:32">
      <c r="A126" s="2">
        <v>1985</v>
      </c>
      <c r="B126" s="2">
        <v>1</v>
      </c>
      <c r="C126" s="16">
        <f t="shared" si="5"/>
        <v>1561806</v>
      </c>
      <c r="D126" s="17">
        <v>722014</v>
      </c>
      <c r="E126" s="17">
        <v>367243</v>
      </c>
      <c r="F126" s="18">
        <v>242438</v>
      </c>
      <c r="G126" s="18">
        <v>94221</v>
      </c>
      <c r="H126" s="19">
        <f t="shared" si="6"/>
        <v>148217</v>
      </c>
      <c r="I126" s="18">
        <v>1361</v>
      </c>
      <c r="J126" s="18">
        <v>90177</v>
      </c>
      <c r="K126" s="18">
        <v>3147</v>
      </c>
      <c r="L126" s="18">
        <v>135426</v>
      </c>
      <c r="M126" s="65">
        <v>1244532</v>
      </c>
      <c r="N126" s="20">
        <f t="shared" si="14"/>
        <v>352189</v>
      </c>
      <c r="O126" s="20">
        <f t="shared" si="15"/>
        <v>1913995</v>
      </c>
      <c r="P126" s="65">
        <v>11387</v>
      </c>
      <c r="Q126" s="20">
        <f t="shared" si="16"/>
        <v>123957</v>
      </c>
      <c r="R126" s="24">
        <v>2049339</v>
      </c>
      <c r="S126" s="25">
        <f t="shared" si="17"/>
        <v>6.0486332422307873E-2</v>
      </c>
      <c r="U126" s="2">
        <v>1985</v>
      </c>
      <c r="V126" s="2">
        <v>1</v>
      </c>
      <c r="W126" s="16">
        <f t="shared" si="7"/>
        <v>936074</v>
      </c>
      <c r="X126" s="64">
        <v>836425</v>
      </c>
      <c r="Y126" s="64">
        <v>89466</v>
      </c>
      <c r="Z126" s="23">
        <v>2554</v>
      </c>
      <c r="AA126" s="23">
        <v>1580</v>
      </c>
      <c r="AB126" s="23">
        <v>6027</v>
      </c>
      <c r="AC126" s="23">
        <v>1</v>
      </c>
      <c r="AD126" s="23">
        <v>21</v>
      </c>
      <c r="AE126" s="20">
        <f t="shared" si="13"/>
        <v>22</v>
      </c>
      <c r="AF126" s="20">
        <f t="shared" si="8"/>
        <v>936052</v>
      </c>
    </row>
    <row r="127" spans="1:32">
      <c r="A127" s="2">
        <v>1985</v>
      </c>
      <c r="B127" s="2">
        <v>2</v>
      </c>
      <c r="C127" s="16">
        <f t="shared" si="5"/>
        <v>1774123</v>
      </c>
      <c r="D127" s="17">
        <v>914129</v>
      </c>
      <c r="E127" s="17">
        <v>363268</v>
      </c>
      <c r="F127" s="18">
        <v>265920</v>
      </c>
      <c r="G127" s="18">
        <v>121266</v>
      </c>
      <c r="H127" s="19">
        <f t="shared" si="6"/>
        <v>144654</v>
      </c>
      <c r="I127" s="18">
        <v>1387</v>
      </c>
      <c r="J127" s="18">
        <v>95027</v>
      </c>
      <c r="K127" s="18">
        <v>5137</v>
      </c>
      <c r="L127" s="18">
        <v>129255</v>
      </c>
      <c r="M127" s="65">
        <v>820601</v>
      </c>
      <c r="N127" s="20">
        <f t="shared" si="14"/>
        <v>-423931</v>
      </c>
      <c r="O127" s="20">
        <f t="shared" si="15"/>
        <v>1350192</v>
      </c>
      <c r="P127" s="65">
        <v>10755</v>
      </c>
      <c r="Q127" s="20">
        <f t="shared" si="16"/>
        <v>246514</v>
      </c>
      <c r="R127" s="24">
        <v>1607461</v>
      </c>
      <c r="S127" s="25">
        <f t="shared" si="17"/>
        <v>0.15335613119074118</v>
      </c>
      <c r="U127" s="2">
        <v>1985</v>
      </c>
      <c r="V127" s="2">
        <v>2</v>
      </c>
      <c r="W127" s="16">
        <f t="shared" si="7"/>
        <v>941403</v>
      </c>
      <c r="X127" s="64">
        <v>841389</v>
      </c>
      <c r="Y127" s="64">
        <v>89803</v>
      </c>
      <c r="Z127" s="23">
        <v>2536</v>
      </c>
      <c r="AA127" s="23">
        <v>1594</v>
      </c>
      <c r="AB127" s="23">
        <v>6059</v>
      </c>
      <c r="AC127" s="23">
        <v>1</v>
      </c>
      <c r="AD127" s="23">
        <v>21</v>
      </c>
      <c r="AE127" s="20">
        <f t="shared" si="13"/>
        <v>22</v>
      </c>
      <c r="AF127" s="20">
        <f t="shared" si="8"/>
        <v>941381</v>
      </c>
    </row>
    <row r="128" spans="1:32">
      <c r="A128" s="2">
        <v>1985</v>
      </c>
      <c r="B128" s="2">
        <v>3</v>
      </c>
      <c r="C128" s="16">
        <f t="shared" si="5"/>
        <v>1498498</v>
      </c>
      <c r="D128" s="17">
        <v>657287</v>
      </c>
      <c r="E128" s="17">
        <v>363087</v>
      </c>
      <c r="F128" s="18">
        <v>250296</v>
      </c>
      <c r="G128" s="18">
        <v>107034</v>
      </c>
      <c r="H128" s="19">
        <f t="shared" si="6"/>
        <v>143262</v>
      </c>
      <c r="I128" s="18">
        <v>1381</v>
      </c>
      <c r="J128" s="18">
        <v>96426</v>
      </c>
      <c r="K128" s="18">
        <v>9130</v>
      </c>
      <c r="L128" s="18">
        <v>120891</v>
      </c>
      <c r="M128" s="65">
        <v>810819</v>
      </c>
      <c r="N128" s="20">
        <f t="shared" si="14"/>
        <v>-9782</v>
      </c>
      <c r="O128" s="20">
        <f t="shared" si="15"/>
        <v>1488716</v>
      </c>
      <c r="P128" s="65">
        <v>13658</v>
      </c>
      <c r="Q128" s="20">
        <f t="shared" si="16"/>
        <v>56547</v>
      </c>
      <c r="R128" s="24">
        <v>1558921</v>
      </c>
      <c r="S128" s="25">
        <f t="shared" si="17"/>
        <v>3.627316586279869E-2</v>
      </c>
      <c r="U128" s="2">
        <v>1985</v>
      </c>
      <c r="V128" s="2">
        <v>3</v>
      </c>
      <c r="W128" s="16">
        <f t="shared" si="7"/>
        <v>945277</v>
      </c>
      <c r="X128" s="64">
        <v>844730</v>
      </c>
      <c r="Y128" s="64">
        <v>90229</v>
      </c>
      <c r="Z128" s="23">
        <v>2569</v>
      </c>
      <c r="AA128" s="23">
        <v>1613</v>
      </c>
      <c r="AB128" s="23">
        <v>6114</v>
      </c>
      <c r="AC128" s="23">
        <v>1</v>
      </c>
      <c r="AD128" s="23">
        <v>21</v>
      </c>
      <c r="AE128" s="20">
        <f t="shared" si="13"/>
        <v>22</v>
      </c>
      <c r="AF128" s="20">
        <f t="shared" si="8"/>
        <v>945255</v>
      </c>
    </row>
    <row r="129" spans="1:32">
      <c r="A129" s="2">
        <v>1985</v>
      </c>
      <c r="B129" s="2">
        <v>4</v>
      </c>
      <c r="C129" s="16">
        <f t="shared" si="5"/>
        <v>1395521</v>
      </c>
      <c r="D129" s="17">
        <v>549546</v>
      </c>
      <c r="E129" s="17">
        <v>373358</v>
      </c>
      <c r="F129" s="18">
        <v>259270</v>
      </c>
      <c r="G129" s="18">
        <v>115506</v>
      </c>
      <c r="H129" s="19">
        <f t="shared" si="6"/>
        <v>143764</v>
      </c>
      <c r="I129" s="18">
        <v>1398</v>
      </c>
      <c r="J129" s="18">
        <v>93264</v>
      </c>
      <c r="K129" s="18">
        <v>880</v>
      </c>
      <c r="L129" s="18">
        <v>117805</v>
      </c>
      <c r="M129" s="65">
        <v>835621</v>
      </c>
      <c r="N129" s="20">
        <f t="shared" si="14"/>
        <v>24802</v>
      </c>
      <c r="O129" s="20">
        <f t="shared" si="15"/>
        <v>1420323</v>
      </c>
      <c r="P129" s="65">
        <v>13564</v>
      </c>
      <c r="Q129" s="20">
        <f t="shared" si="16"/>
        <v>85716</v>
      </c>
      <c r="R129" s="24">
        <v>1519603</v>
      </c>
      <c r="S129" s="25">
        <f t="shared" si="17"/>
        <v>5.6406837838567044E-2</v>
      </c>
      <c r="U129" s="2">
        <v>1985</v>
      </c>
      <c r="V129" s="2">
        <v>4</v>
      </c>
      <c r="W129" s="16">
        <f t="shared" si="7"/>
        <v>942598</v>
      </c>
      <c r="X129" s="64">
        <v>841522</v>
      </c>
      <c r="Y129" s="64">
        <v>90693</v>
      </c>
      <c r="Z129" s="23">
        <v>2573</v>
      </c>
      <c r="AA129" s="23">
        <v>1630</v>
      </c>
      <c r="AB129" s="23">
        <v>6157</v>
      </c>
      <c r="AC129" s="23">
        <v>2</v>
      </c>
      <c r="AD129" s="23">
        <v>21</v>
      </c>
      <c r="AE129" s="20">
        <f t="shared" si="13"/>
        <v>23</v>
      </c>
      <c r="AF129" s="20">
        <f t="shared" si="8"/>
        <v>942575</v>
      </c>
    </row>
    <row r="130" spans="1:32">
      <c r="A130" s="2">
        <v>1985</v>
      </c>
      <c r="B130" s="2">
        <v>5</v>
      </c>
      <c r="C130" s="16">
        <f t="shared" si="5"/>
        <v>1493030</v>
      </c>
      <c r="D130" s="17">
        <v>578299</v>
      </c>
      <c r="E130" s="17">
        <v>405858</v>
      </c>
      <c r="F130" s="18">
        <v>267969</v>
      </c>
      <c r="G130" s="18">
        <v>118791</v>
      </c>
      <c r="H130" s="19">
        <f t="shared" si="6"/>
        <v>149178</v>
      </c>
      <c r="I130" s="18">
        <v>1402</v>
      </c>
      <c r="J130" s="18">
        <v>103217</v>
      </c>
      <c r="K130" s="18">
        <v>97</v>
      </c>
      <c r="L130" s="18">
        <v>136188</v>
      </c>
      <c r="M130" s="65">
        <v>1093648</v>
      </c>
      <c r="N130" s="20">
        <f t="shared" si="14"/>
        <v>258027</v>
      </c>
      <c r="O130" s="20">
        <f t="shared" si="15"/>
        <v>1751057</v>
      </c>
      <c r="P130" s="65">
        <v>13945</v>
      </c>
      <c r="Q130" s="20">
        <f t="shared" si="16"/>
        <v>94285</v>
      </c>
      <c r="R130" s="24">
        <v>1859287</v>
      </c>
      <c r="S130" s="25">
        <f t="shared" si="17"/>
        <v>5.0710299163066269E-2</v>
      </c>
      <c r="U130" s="2">
        <v>1985</v>
      </c>
      <c r="V130" s="2">
        <v>5</v>
      </c>
      <c r="W130" s="16">
        <f t="shared" si="7"/>
        <v>931500</v>
      </c>
      <c r="X130" s="64">
        <v>829934</v>
      </c>
      <c r="Y130" s="64">
        <v>91146</v>
      </c>
      <c r="Z130" s="23">
        <v>2589</v>
      </c>
      <c r="AA130" s="23">
        <v>1638</v>
      </c>
      <c r="AB130" s="23">
        <v>6170</v>
      </c>
      <c r="AC130" s="23">
        <v>2</v>
      </c>
      <c r="AD130" s="23">
        <v>21</v>
      </c>
      <c r="AE130" s="20">
        <f t="shared" si="13"/>
        <v>23</v>
      </c>
      <c r="AF130" s="20">
        <f t="shared" si="8"/>
        <v>931477</v>
      </c>
    </row>
    <row r="131" spans="1:32">
      <c r="A131" s="2">
        <v>1985</v>
      </c>
      <c r="B131" s="2">
        <v>6</v>
      </c>
      <c r="C131" s="16">
        <f t="shared" si="5"/>
        <v>1852300</v>
      </c>
      <c r="D131" s="17">
        <v>814301</v>
      </c>
      <c r="E131" s="17">
        <v>470171</v>
      </c>
      <c r="F131" s="18">
        <v>280907</v>
      </c>
      <c r="G131" s="18">
        <v>123771</v>
      </c>
      <c r="H131" s="19">
        <f t="shared" si="6"/>
        <v>157136</v>
      </c>
      <c r="I131" s="18">
        <v>1422</v>
      </c>
      <c r="J131" s="18">
        <v>115219</v>
      </c>
      <c r="K131" s="18">
        <v>66</v>
      </c>
      <c r="L131" s="18">
        <v>170214</v>
      </c>
      <c r="M131" s="65">
        <v>1200343</v>
      </c>
      <c r="N131" s="20">
        <f t="shared" si="14"/>
        <v>106695</v>
      </c>
      <c r="O131" s="20">
        <f t="shared" si="15"/>
        <v>1958995</v>
      </c>
      <c r="P131" s="65">
        <v>15955</v>
      </c>
      <c r="Q131" s="20">
        <f t="shared" si="16"/>
        <v>112034</v>
      </c>
      <c r="R131" s="24">
        <v>2086984</v>
      </c>
      <c r="S131" s="25">
        <f t="shared" si="17"/>
        <v>5.368225151702169E-2</v>
      </c>
      <c r="U131" s="2">
        <v>1985</v>
      </c>
      <c r="V131" s="2">
        <v>6</v>
      </c>
      <c r="W131" s="16">
        <f t="shared" si="7"/>
        <v>928883</v>
      </c>
      <c r="X131" s="64">
        <v>826737</v>
      </c>
      <c r="Y131" s="64">
        <v>91654</v>
      </c>
      <c r="Z131" s="23">
        <v>2623</v>
      </c>
      <c r="AA131" s="23">
        <v>1659</v>
      </c>
      <c r="AB131" s="23">
        <v>6186</v>
      </c>
      <c r="AC131" s="23">
        <v>2</v>
      </c>
      <c r="AD131" s="23">
        <v>22</v>
      </c>
      <c r="AE131" s="20">
        <f t="shared" si="13"/>
        <v>24</v>
      </c>
      <c r="AF131" s="20">
        <f t="shared" si="8"/>
        <v>928859</v>
      </c>
    </row>
    <row r="132" spans="1:32">
      <c r="A132" s="2">
        <v>1985</v>
      </c>
      <c r="B132" s="2">
        <v>7</v>
      </c>
      <c r="C132" s="16">
        <f t="shared" si="5"/>
        <v>1922530</v>
      </c>
      <c r="D132" s="17">
        <v>923812</v>
      </c>
      <c r="E132" s="17">
        <v>481557</v>
      </c>
      <c r="F132" s="18">
        <v>252541</v>
      </c>
      <c r="G132" s="18">
        <v>98809</v>
      </c>
      <c r="H132" s="19">
        <f t="shared" si="6"/>
        <v>153732</v>
      </c>
      <c r="I132" s="18">
        <v>1424</v>
      </c>
      <c r="J132" s="18">
        <v>104357</v>
      </c>
      <c r="K132" s="18">
        <v>66</v>
      </c>
      <c r="L132" s="18">
        <v>158773</v>
      </c>
      <c r="M132" s="65">
        <v>1186440</v>
      </c>
      <c r="N132" s="20">
        <f t="shared" si="14"/>
        <v>-13903</v>
      </c>
      <c r="O132" s="20">
        <f t="shared" si="15"/>
        <v>1908627</v>
      </c>
      <c r="P132" s="65">
        <v>22304</v>
      </c>
      <c r="Q132" s="20">
        <f t="shared" si="16"/>
        <v>184459</v>
      </c>
      <c r="R132" s="24">
        <v>2115390</v>
      </c>
      <c r="S132" s="25">
        <f t="shared" si="17"/>
        <v>8.7198578039983168E-2</v>
      </c>
      <c r="U132" s="2">
        <v>1985</v>
      </c>
      <c r="V132" s="2">
        <v>7</v>
      </c>
      <c r="W132" s="16">
        <f t="shared" si="7"/>
        <v>930620</v>
      </c>
      <c r="X132" s="64">
        <v>828223</v>
      </c>
      <c r="Y132" s="64">
        <v>91866</v>
      </c>
      <c r="Z132" s="23">
        <v>2629</v>
      </c>
      <c r="AA132" s="23">
        <v>1689</v>
      </c>
      <c r="AB132" s="23">
        <v>6190</v>
      </c>
      <c r="AC132" s="23">
        <v>2</v>
      </c>
      <c r="AD132" s="23">
        <v>21</v>
      </c>
      <c r="AE132" s="20">
        <f t="shared" si="13"/>
        <v>23</v>
      </c>
      <c r="AF132" s="20">
        <f t="shared" si="8"/>
        <v>930597</v>
      </c>
    </row>
    <row r="133" spans="1:32">
      <c r="A133" s="2">
        <v>1985</v>
      </c>
      <c r="B133" s="2">
        <v>8</v>
      </c>
      <c r="C133" s="16">
        <f t="shared" si="5"/>
        <v>1971518</v>
      </c>
      <c r="D133" s="17">
        <v>931120</v>
      </c>
      <c r="E133" s="17">
        <v>487522</v>
      </c>
      <c r="F133" s="18">
        <v>275660</v>
      </c>
      <c r="G133" s="18">
        <v>122535</v>
      </c>
      <c r="H133" s="19">
        <f t="shared" si="6"/>
        <v>153125</v>
      </c>
      <c r="I133" s="18">
        <v>1421</v>
      </c>
      <c r="J133" s="18">
        <v>103813</v>
      </c>
      <c r="K133" s="18">
        <v>650</v>
      </c>
      <c r="L133" s="18">
        <v>171332</v>
      </c>
      <c r="M133" s="65">
        <v>1248003</v>
      </c>
      <c r="N133" s="20">
        <f t="shared" si="14"/>
        <v>61563</v>
      </c>
      <c r="O133" s="20">
        <f t="shared" si="15"/>
        <v>2033081</v>
      </c>
      <c r="P133" s="65">
        <v>29290</v>
      </c>
      <c r="Q133" s="20">
        <f t="shared" si="16"/>
        <v>110317</v>
      </c>
      <c r="R133" s="24">
        <v>2172688</v>
      </c>
      <c r="S133" s="25">
        <f t="shared" si="17"/>
        <v>5.077443240815064E-2</v>
      </c>
      <c r="U133" s="2">
        <v>1985</v>
      </c>
      <c r="V133" s="2">
        <v>8</v>
      </c>
      <c r="W133" s="16">
        <f t="shared" si="7"/>
        <v>933030</v>
      </c>
      <c r="X133" s="64">
        <v>830036</v>
      </c>
      <c r="Y133" s="64">
        <v>92416</v>
      </c>
      <c r="Z133" s="23">
        <v>2644</v>
      </c>
      <c r="AA133" s="23">
        <v>1704</v>
      </c>
      <c r="AB133" s="23">
        <v>6207</v>
      </c>
      <c r="AC133" s="23">
        <v>2</v>
      </c>
      <c r="AD133" s="23">
        <v>21</v>
      </c>
      <c r="AE133" s="20">
        <f t="shared" si="13"/>
        <v>23</v>
      </c>
      <c r="AF133" s="20">
        <f t="shared" si="8"/>
        <v>933007</v>
      </c>
    </row>
    <row r="134" spans="1:32">
      <c r="A134" s="2">
        <v>1985</v>
      </c>
      <c r="B134" s="2">
        <v>9</v>
      </c>
      <c r="C134" s="16">
        <f t="shared" ref="C134:C197" si="18">SUM(D134:F134,I134:L134)</f>
        <v>1948151</v>
      </c>
      <c r="D134" s="17">
        <v>918125</v>
      </c>
      <c r="E134" s="17">
        <v>479393</v>
      </c>
      <c r="F134" s="18">
        <v>271488</v>
      </c>
      <c r="G134" s="18">
        <v>112761</v>
      </c>
      <c r="H134" s="19">
        <f t="shared" ref="H134:H197" si="19">(F134-G134)</f>
        <v>158727</v>
      </c>
      <c r="I134" s="18">
        <v>1428</v>
      </c>
      <c r="J134" s="18">
        <v>115385</v>
      </c>
      <c r="K134" s="18">
        <v>225</v>
      </c>
      <c r="L134" s="18">
        <v>162107</v>
      </c>
      <c r="M134" s="65">
        <v>1010400</v>
      </c>
      <c r="N134" s="20">
        <f t="shared" si="14"/>
        <v>-237603</v>
      </c>
      <c r="O134" s="20">
        <f t="shared" si="15"/>
        <v>1710548</v>
      </c>
      <c r="P134" s="65">
        <v>20289</v>
      </c>
      <c r="Q134" s="20">
        <f t="shared" si="16"/>
        <v>158798</v>
      </c>
      <c r="R134" s="24">
        <v>1889635</v>
      </c>
      <c r="S134" s="25">
        <f t="shared" si="17"/>
        <v>8.4036335059416239E-2</v>
      </c>
      <c r="U134" s="2">
        <v>1985</v>
      </c>
      <c r="V134" s="2">
        <v>9</v>
      </c>
      <c r="W134" s="16">
        <f t="shared" ref="W134:W197" si="20">SUM(X134:AD134)</f>
        <v>936902</v>
      </c>
      <c r="X134" s="64">
        <v>833418</v>
      </c>
      <c r="Y134" s="64">
        <v>92852</v>
      </c>
      <c r="Z134" s="23">
        <v>2646</v>
      </c>
      <c r="AA134" s="23">
        <v>1719</v>
      </c>
      <c r="AB134" s="23">
        <v>6243</v>
      </c>
      <c r="AC134" s="23">
        <v>2</v>
      </c>
      <c r="AD134" s="23">
        <v>22</v>
      </c>
      <c r="AE134" s="20">
        <f t="shared" si="13"/>
        <v>24</v>
      </c>
      <c r="AF134" s="20">
        <f t="shared" si="8"/>
        <v>936878</v>
      </c>
    </row>
    <row r="135" spans="1:32">
      <c r="A135" s="2">
        <v>1985</v>
      </c>
      <c r="B135" s="2">
        <v>10</v>
      </c>
      <c r="C135" s="16">
        <f t="shared" si="18"/>
        <v>1773034</v>
      </c>
      <c r="D135" s="17">
        <v>779446</v>
      </c>
      <c r="E135" s="17">
        <v>450822</v>
      </c>
      <c r="F135" s="18">
        <v>265310</v>
      </c>
      <c r="G135" s="18">
        <v>110709</v>
      </c>
      <c r="H135" s="19">
        <f t="shared" si="19"/>
        <v>154601</v>
      </c>
      <c r="I135" s="18">
        <v>1428</v>
      </c>
      <c r="J135" s="18">
        <v>114798</v>
      </c>
      <c r="K135" s="18">
        <v>105</v>
      </c>
      <c r="L135" s="18">
        <v>161125</v>
      </c>
      <c r="M135" s="65">
        <v>1132336</v>
      </c>
      <c r="N135" s="20">
        <f t="shared" si="14"/>
        <v>121936</v>
      </c>
      <c r="O135" s="20">
        <f t="shared" si="15"/>
        <v>1894970</v>
      </c>
      <c r="P135" s="65">
        <v>14925</v>
      </c>
      <c r="Q135" s="20">
        <f t="shared" si="16"/>
        <v>53872</v>
      </c>
      <c r="R135" s="24">
        <v>1963767</v>
      </c>
      <c r="S135" s="25">
        <f t="shared" si="17"/>
        <v>2.7432989758968351E-2</v>
      </c>
      <c r="U135" s="2">
        <v>1985</v>
      </c>
      <c r="V135" s="2">
        <v>10</v>
      </c>
      <c r="W135" s="16">
        <f t="shared" si="20"/>
        <v>942284</v>
      </c>
      <c r="X135" s="64">
        <v>838323</v>
      </c>
      <c r="Y135" s="64">
        <v>93305</v>
      </c>
      <c r="Z135" s="23">
        <v>2650</v>
      </c>
      <c r="AA135" s="23">
        <v>1715</v>
      </c>
      <c r="AB135" s="23">
        <v>6269</v>
      </c>
      <c r="AC135" s="23">
        <v>2</v>
      </c>
      <c r="AD135" s="23">
        <v>20</v>
      </c>
      <c r="AE135" s="20">
        <f t="shared" si="13"/>
        <v>22</v>
      </c>
      <c r="AF135" s="20">
        <f t="shared" ref="AF135:AF198" si="21">SUM(X135:AB135)</f>
        <v>942262</v>
      </c>
    </row>
    <row r="136" spans="1:32">
      <c r="A136" s="2">
        <v>1985</v>
      </c>
      <c r="B136" s="2">
        <v>11</v>
      </c>
      <c r="C136" s="16">
        <f t="shared" si="18"/>
        <v>1682455</v>
      </c>
      <c r="D136" s="17">
        <v>721207</v>
      </c>
      <c r="E136" s="17">
        <v>441492</v>
      </c>
      <c r="F136" s="18">
        <v>269501</v>
      </c>
      <c r="G136" s="18">
        <v>113046</v>
      </c>
      <c r="H136" s="19">
        <f t="shared" si="19"/>
        <v>156455</v>
      </c>
      <c r="I136" s="18">
        <v>1424</v>
      </c>
      <c r="J136" s="18">
        <v>111457</v>
      </c>
      <c r="K136" s="18">
        <v>104</v>
      </c>
      <c r="L136" s="18">
        <v>137270</v>
      </c>
      <c r="M136" s="65">
        <v>889307</v>
      </c>
      <c r="N136" s="20">
        <f t="shared" si="14"/>
        <v>-243029</v>
      </c>
      <c r="O136" s="20">
        <f t="shared" si="15"/>
        <v>1439426</v>
      </c>
      <c r="P136" s="65">
        <v>16969</v>
      </c>
      <c r="Q136" s="20">
        <f t="shared" si="16"/>
        <v>149328</v>
      </c>
      <c r="R136" s="24">
        <v>1605723</v>
      </c>
      <c r="S136" s="25">
        <f t="shared" si="17"/>
        <v>9.2997360067707813E-2</v>
      </c>
      <c r="U136" s="2">
        <v>1985</v>
      </c>
      <c r="V136" s="2">
        <v>11</v>
      </c>
      <c r="W136" s="16">
        <f t="shared" si="20"/>
        <v>955102</v>
      </c>
      <c r="X136" s="64">
        <v>850470</v>
      </c>
      <c r="Y136" s="64">
        <v>93946</v>
      </c>
      <c r="Z136" s="23">
        <v>2653</v>
      </c>
      <c r="AA136" s="23">
        <v>1717</v>
      </c>
      <c r="AB136" s="23">
        <v>6293</v>
      </c>
      <c r="AC136" s="23">
        <v>2</v>
      </c>
      <c r="AD136" s="23">
        <v>21</v>
      </c>
      <c r="AE136" s="20">
        <f t="shared" si="13"/>
        <v>23</v>
      </c>
      <c r="AF136" s="20">
        <f t="shared" si="21"/>
        <v>955079</v>
      </c>
    </row>
    <row r="137" spans="1:32">
      <c r="A137" s="2">
        <v>1985</v>
      </c>
      <c r="B137" s="2">
        <v>12</v>
      </c>
      <c r="C137" s="16">
        <f t="shared" si="18"/>
        <v>1600134</v>
      </c>
      <c r="D137" s="17">
        <v>665734</v>
      </c>
      <c r="E137" s="17">
        <v>422803</v>
      </c>
      <c r="F137" s="18">
        <v>264711</v>
      </c>
      <c r="G137" s="18">
        <v>104840</v>
      </c>
      <c r="H137" s="19">
        <f t="shared" si="19"/>
        <v>159871</v>
      </c>
      <c r="I137" s="18">
        <v>1593</v>
      </c>
      <c r="J137" s="18">
        <v>108147</v>
      </c>
      <c r="K137" s="18">
        <v>94</v>
      </c>
      <c r="L137" s="18">
        <v>137052</v>
      </c>
      <c r="M137" s="65">
        <v>1140406</v>
      </c>
      <c r="N137" s="20">
        <f t="shared" si="14"/>
        <v>251099</v>
      </c>
      <c r="O137" s="20">
        <f t="shared" si="15"/>
        <v>1851233</v>
      </c>
      <c r="P137" s="65">
        <v>14819</v>
      </c>
      <c r="Q137" s="20">
        <f t="shared" si="16"/>
        <v>82191</v>
      </c>
      <c r="R137" s="24">
        <v>1948243</v>
      </c>
      <c r="S137" s="25">
        <f t="shared" si="17"/>
        <v>4.218724255649834E-2</v>
      </c>
      <c r="U137" s="2">
        <v>1985</v>
      </c>
      <c r="V137" s="2">
        <v>12</v>
      </c>
      <c r="W137" s="16">
        <f t="shared" si="20"/>
        <v>968033</v>
      </c>
      <c r="X137" s="64">
        <v>862852</v>
      </c>
      <c r="Y137" s="64">
        <v>94423</v>
      </c>
      <c r="Z137" s="23">
        <v>2662</v>
      </c>
      <c r="AA137" s="23">
        <v>1737</v>
      </c>
      <c r="AB137" s="23">
        <v>6336</v>
      </c>
      <c r="AC137" s="23">
        <v>2</v>
      </c>
      <c r="AD137" s="23">
        <v>21</v>
      </c>
      <c r="AE137" s="20">
        <f t="shared" si="13"/>
        <v>23</v>
      </c>
      <c r="AF137" s="20">
        <f t="shared" si="21"/>
        <v>968010</v>
      </c>
    </row>
    <row r="138" spans="1:32">
      <c r="A138" s="2">
        <v>1986</v>
      </c>
      <c r="B138" s="2">
        <v>1</v>
      </c>
      <c r="C138" s="16">
        <f t="shared" si="18"/>
        <v>1859653</v>
      </c>
      <c r="D138" s="17">
        <v>953553</v>
      </c>
      <c r="E138" s="17">
        <v>402835</v>
      </c>
      <c r="F138" s="18">
        <v>252308</v>
      </c>
      <c r="G138" s="18">
        <v>87037</v>
      </c>
      <c r="H138" s="19">
        <f t="shared" si="19"/>
        <v>165271</v>
      </c>
      <c r="I138" s="18">
        <v>1449</v>
      </c>
      <c r="J138" s="18">
        <v>95731</v>
      </c>
      <c r="K138" s="18">
        <v>80</v>
      </c>
      <c r="L138" s="18">
        <v>153697</v>
      </c>
      <c r="M138" s="65">
        <v>1035551</v>
      </c>
      <c r="N138" s="20">
        <f t="shared" si="14"/>
        <v>-104855</v>
      </c>
      <c r="O138" s="20">
        <f t="shared" si="15"/>
        <v>1754798</v>
      </c>
      <c r="P138" s="65">
        <v>14529</v>
      </c>
      <c r="Q138" s="20">
        <f t="shared" si="16"/>
        <v>149130</v>
      </c>
      <c r="R138" s="24">
        <v>1918457</v>
      </c>
      <c r="S138" s="25">
        <f t="shared" si="17"/>
        <v>7.7734345883175904E-2</v>
      </c>
      <c r="U138" s="2">
        <v>1986</v>
      </c>
      <c r="V138" s="2">
        <v>1</v>
      </c>
      <c r="W138" s="16">
        <f t="shared" si="20"/>
        <v>976528</v>
      </c>
      <c r="X138" s="64">
        <v>871218</v>
      </c>
      <c r="Y138" s="64">
        <v>94471</v>
      </c>
      <c r="Z138" s="23">
        <v>2666</v>
      </c>
      <c r="AA138" s="23">
        <v>1750</v>
      </c>
      <c r="AB138" s="23">
        <v>6402</v>
      </c>
      <c r="AC138" s="23">
        <v>2</v>
      </c>
      <c r="AD138" s="23">
        <v>19</v>
      </c>
      <c r="AE138" s="20">
        <f t="shared" si="13"/>
        <v>21</v>
      </c>
      <c r="AF138" s="20">
        <f t="shared" si="21"/>
        <v>976507</v>
      </c>
    </row>
    <row r="139" spans="1:32">
      <c r="A139" s="2">
        <v>1986</v>
      </c>
      <c r="B139" s="2">
        <v>2</v>
      </c>
      <c r="C139" s="16">
        <f t="shared" si="18"/>
        <v>1657635</v>
      </c>
      <c r="D139" s="17">
        <v>806793</v>
      </c>
      <c r="E139" s="17">
        <v>374487</v>
      </c>
      <c r="F139" s="18">
        <v>242178</v>
      </c>
      <c r="G139" s="18">
        <v>90674</v>
      </c>
      <c r="H139" s="19">
        <f t="shared" si="19"/>
        <v>151504</v>
      </c>
      <c r="I139" s="18">
        <v>1470</v>
      </c>
      <c r="J139" s="18">
        <v>95675</v>
      </c>
      <c r="K139" s="18">
        <v>4113</v>
      </c>
      <c r="L139" s="18">
        <v>132919</v>
      </c>
      <c r="M139" s="65">
        <v>900922</v>
      </c>
      <c r="N139" s="20">
        <f t="shared" si="14"/>
        <v>-134629</v>
      </c>
      <c r="O139" s="20">
        <f t="shared" si="15"/>
        <v>1523006</v>
      </c>
      <c r="P139" s="65">
        <v>12299</v>
      </c>
      <c r="Q139" s="20">
        <f t="shared" si="16"/>
        <v>-6584</v>
      </c>
      <c r="R139" s="24">
        <v>1528721</v>
      </c>
      <c r="S139" s="25">
        <f t="shared" si="17"/>
        <v>-4.3068682905513826E-3</v>
      </c>
      <c r="U139" s="2">
        <v>1986</v>
      </c>
      <c r="V139" s="2">
        <v>2</v>
      </c>
      <c r="W139" s="16">
        <f t="shared" si="20"/>
        <v>982617</v>
      </c>
      <c r="X139" s="64">
        <v>876985</v>
      </c>
      <c r="Y139" s="64">
        <v>94745</v>
      </c>
      <c r="Z139" s="23">
        <v>2679</v>
      </c>
      <c r="AA139" s="23">
        <v>1765</v>
      </c>
      <c r="AB139" s="23">
        <v>6422</v>
      </c>
      <c r="AC139" s="23">
        <v>2</v>
      </c>
      <c r="AD139" s="23">
        <v>19</v>
      </c>
      <c r="AE139" s="20">
        <f t="shared" si="13"/>
        <v>21</v>
      </c>
      <c r="AF139" s="20">
        <f t="shared" si="21"/>
        <v>982596</v>
      </c>
    </row>
    <row r="140" spans="1:32">
      <c r="A140" s="2">
        <v>1986</v>
      </c>
      <c r="B140" s="2">
        <v>3</v>
      </c>
      <c r="C140" s="16">
        <f t="shared" si="18"/>
        <v>1562825</v>
      </c>
      <c r="D140" s="17">
        <v>706325</v>
      </c>
      <c r="E140" s="17">
        <v>383821</v>
      </c>
      <c r="F140" s="18">
        <v>240969</v>
      </c>
      <c r="G140" s="18">
        <v>91617</v>
      </c>
      <c r="H140" s="19">
        <f t="shared" si="19"/>
        <v>149352</v>
      </c>
      <c r="I140" s="18">
        <v>1465</v>
      </c>
      <c r="J140" s="18">
        <v>95676</v>
      </c>
      <c r="K140" s="18">
        <v>5534</v>
      </c>
      <c r="L140" s="18">
        <v>129035</v>
      </c>
      <c r="M140" s="65">
        <v>967520</v>
      </c>
      <c r="N140" s="20">
        <f t="shared" si="14"/>
        <v>66598</v>
      </c>
      <c r="O140" s="20">
        <f t="shared" si="15"/>
        <v>1629423</v>
      </c>
      <c r="P140" s="65">
        <v>11399</v>
      </c>
      <c r="Q140" s="20">
        <f t="shared" si="16"/>
        <v>99699</v>
      </c>
      <c r="R140" s="24">
        <v>1740521</v>
      </c>
      <c r="S140" s="25">
        <f t="shared" si="17"/>
        <v>5.7281124444921949E-2</v>
      </c>
      <c r="U140" s="2">
        <v>1986</v>
      </c>
      <c r="V140" s="2">
        <v>3</v>
      </c>
      <c r="W140" s="16">
        <f t="shared" si="20"/>
        <v>985693</v>
      </c>
      <c r="X140" s="64">
        <v>879528</v>
      </c>
      <c r="Y140" s="64">
        <v>95206</v>
      </c>
      <c r="Z140" s="23">
        <v>2686</v>
      </c>
      <c r="AA140" s="23">
        <v>1780</v>
      </c>
      <c r="AB140" s="23">
        <v>6472</v>
      </c>
      <c r="AC140" s="23">
        <v>2</v>
      </c>
      <c r="AD140" s="23">
        <v>19</v>
      </c>
      <c r="AE140" s="20">
        <f t="shared" si="13"/>
        <v>21</v>
      </c>
      <c r="AF140" s="20">
        <f t="shared" si="21"/>
        <v>985672</v>
      </c>
    </row>
    <row r="141" spans="1:32">
      <c r="A141" s="2">
        <v>1986</v>
      </c>
      <c r="B141" s="2">
        <v>4</v>
      </c>
      <c r="C141" s="16">
        <f t="shared" si="18"/>
        <v>1543337</v>
      </c>
      <c r="D141" s="17">
        <v>639066</v>
      </c>
      <c r="E141" s="17">
        <v>415926</v>
      </c>
      <c r="F141" s="18">
        <v>262981</v>
      </c>
      <c r="G141" s="18">
        <v>101478</v>
      </c>
      <c r="H141" s="19">
        <f t="shared" si="19"/>
        <v>161503</v>
      </c>
      <c r="I141" s="18">
        <v>1480</v>
      </c>
      <c r="J141" s="18">
        <v>99852</v>
      </c>
      <c r="K141" s="18">
        <v>762</v>
      </c>
      <c r="L141" s="18">
        <v>123270</v>
      </c>
      <c r="M141" s="65">
        <v>886271</v>
      </c>
      <c r="N141" s="20">
        <f t="shared" si="14"/>
        <v>-81249</v>
      </c>
      <c r="O141" s="20">
        <f t="shared" si="15"/>
        <v>1462088</v>
      </c>
      <c r="P141" s="65">
        <v>13361</v>
      </c>
      <c r="Q141" s="20">
        <f t="shared" si="16"/>
        <v>91083</v>
      </c>
      <c r="R141" s="24">
        <v>1566532</v>
      </c>
      <c r="S141" s="25">
        <f t="shared" si="17"/>
        <v>5.8143082937341849E-2</v>
      </c>
      <c r="U141" s="2">
        <v>1986</v>
      </c>
      <c r="V141" s="2">
        <v>4</v>
      </c>
      <c r="W141" s="16">
        <f t="shared" si="20"/>
        <v>981681</v>
      </c>
      <c r="X141" s="64">
        <v>874896</v>
      </c>
      <c r="Y141" s="64">
        <v>95771</v>
      </c>
      <c r="Z141" s="23">
        <v>2699</v>
      </c>
      <c r="AA141" s="23">
        <v>1797</v>
      </c>
      <c r="AB141" s="23">
        <v>6497</v>
      </c>
      <c r="AC141" s="23">
        <v>2</v>
      </c>
      <c r="AD141" s="23">
        <v>19</v>
      </c>
      <c r="AE141" s="20">
        <f t="shared" si="13"/>
        <v>21</v>
      </c>
      <c r="AF141" s="20">
        <f t="shared" si="21"/>
        <v>981660</v>
      </c>
    </row>
    <row r="142" spans="1:32">
      <c r="A142" s="2">
        <v>1986</v>
      </c>
      <c r="B142" s="2">
        <v>5</v>
      </c>
      <c r="C142" s="16">
        <f t="shared" si="18"/>
        <v>1411643</v>
      </c>
      <c r="D142" s="17">
        <v>568375</v>
      </c>
      <c r="E142" s="17">
        <v>420014</v>
      </c>
      <c r="F142" s="18">
        <v>250667</v>
      </c>
      <c r="G142" s="18">
        <v>84258</v>
      </c>
      <c r="H142" s="19">
        <f t="shared" si="19"/>
        <v>166409</v>
      </c>
      <c r="I142" s="18">
        <v>1495</v>
      </c>
      <c r="J142" s="18">
        <v>103676</v>
      </c>
      <c r="K142" s="18">
        <v>476</v>
      </c>
      <c r="L142" s="18">
        <v>66940</v>
      </c>
      <c r="M142" s="65">
        <v>1123254</v>
      </c>
      <c r="N142" s="20">
        <f t="shared" ref="N142:N173" si="22">(M142-M141)</f>
        <v>236983</v>
      </c>
      <c r="O142" s="20">
        <f t="shared" ref="O142:O173" si="23">(C142+N142)</f>
        <v>1648626</v>
      </c>
      <c r="P142" s="65">
        <v>13615</v>
      </c>
      <c r="Q142" s="20">
        <f t="shared" ref="Q142:Q173" si="24">(R142-O142-P142)</f>
        <v>120922</v>
      </c>
      <c r="R142" s="24">
        <v>1783163</v>
      </c>
      <c r="S142" s="25">
        <f t="shared" ref="S142:S173" si="25">(Q142/R142)</f>
        <v>6.781320608379604E-2</v>
      </c>
      <c r="U142" s="2">
        <v>1986</v>
      </c>
      <c r="V142" s="2">
        <v>5</v>
      </c>
      <c r="W142" s="16">
        <f t="shared" si="20"/>
        <v>969409</v>
      </c>
      <c r="X142" s="64">
        <v>862285</v>
      </c>
      <c r="Y142" s="64">
        <v>96055</v>
      </c>
      <c r="Z142" s="23">
        <v>2695</v>
      </c>
      <c r="AA142" s="23">
        <v>1811</v>
      </c>
      <c r="AB142" s="23">
        <v>6549</v>
      </c>
      <c r="AC142" s="23">
        <v>2</v>
      </c>
      <c r="AD142" s="23">
        <v>12</v>
      </c>
      <c r="AE142" s="20">
        <f t="shared" si="13"/>
        <v>14</v>
      </c>
      <c r="AF142" s="20">
        <f t="shared" si="21"/>
        <v>969395</v>
      </c>
    </row>
    <row r="143" spans="1:32">
      <c r="A143" s="2">
        <v>1986</v>
      </c>
      <c r="B143" s="2">
        <v>6</v>
      </c>
      <c r="C143" s="16">
        <f t="shared" si="18"/>
        <v>1771052</v>
      </c>
      <c r="D143" s="17">
        <v>797332</v>
      </c>
      <c r="E143" s="17">
        <v>493223</v>
      </c>
      <c r="F143" s="18">
        <v>268037</v>
      </c>
      <c r="G143" s="18">
        <v>81256</v>
      </c>
      <c r="H143" s="19">
        <f t="shared" si="19"/>
        <v>186781</v>
      </c>
      <c r="I143" s="18">
        <v>1489</v>
      </c>
      <c r="J143" s="18">
        <v>115958</v>
      </c>
      <c r="K143" s="18">
        <v>70</v>
      </c>
      <c r="L143" s="18">
        <v>94943</v>
      </c>
      <c r="M143" s="65">
        <v>1281065</v>
      </c>
      <c r="N143" s="20">
        <f t="shared" si="22"/>
        <v>157811</v>
      </c>
      <c r="O143" s="20">
        <f t="shared" si="23"/>
        <v>1928863</v>
      </c>
      <c r="P143" s="65">
        <v>22165</v>
      </c>
      <c r="Q143" s="20">
        <f t="shared" si="24"/>
        <v>90070</v>
      </c>
      <c r="R143" s="24">
        <v>2041098</v>
      </c>
      <c r="S143" s="25">
        <f t="shared" si="25"/>
        <v>4.4128209424535228E-2</v>
      </c>
      <c r="U143" s="2">
        <v>1986</v>
      </c>
      <c r="V143" s="2">
        <v>6</v>
      </c>
      <c r="W143" s="16">
        <f t="shared" si="20"/>
        <v>966239</v>
      </c>
      <c r="X143" s="64">
        <v>858639</v>
      </c>
      <c r="Y143" s="64">
        <v>96471</v>
      </c>
      <c r="Z143" s="23">
        <v>2704</v>
      </c>
      <c r="AA143" s="23">
        <v>1813</v>
      </c>
      <c r="AB143" s="23">
        <v>6597</v>
      </c>
      <c r="AC143" s="23">
        <v>2</v>
      </c>
      <c r="AD143" s="23">
        <v>13</v>
      </c>
      <c r="AE143" s="20">
        <f t="shared" si="13"/>
        <v>15</v>
      </c>
      <c r="AF143" s="20">
        <f t="shared" si="21"/>
        <v>966224</v>
      </c>
    </row>
    <row r="144" spans="1:32">
      <c r="A144" s="2">
        <v>1986</v>
      </c>
      <c r="B144" s="2">
        <v>7</v>
      </c>
      <c r="C144" s="16">
        <f t="shared" si="18"/>
        <v>1950528</v>
      </c>
      <c r="D144" s="17">
        <v>953859</v>
      </c>
      <c r="E144" s="17">
        <v>527036</v>
      </c>
      <c r="F144" s="18">
        <v>252702</v>
      </c>
      <c r="G144" s="18">
        <v>72112</v>
      </c>
      <c r="H144" s="19">
        <f t="shared" si="19"/>
        <v>180590</v>
      </c>
      <c r="I144" s="18">
        <v>1524</v>
      </c>
      <c r="J144" s="18">
        <v>108561</v>
      </c>
      <c r="K144" s="18">
        <v>72</v>
      </c>
      <c r="L144" s="18">
        <v>106774</v>
      </c>
      <c r="M144" s="65">
        <v>1470376</v>
      </c>
      <c r="N144" s="20">
        <f t="shared" si="22"/>
        <v>189311</v>
      </c>
      <c r="O144" s="20">
        <f t="shared" si="23"/>
        <v>2139839</v>
      </c>
      <c r="P144" s="65">
        <v>16913</v>
      </c>
      <c r="Q144" s="20">
        <f t="shared" si="24"/>
        <v>145027</v>
      </c>
      <c r="R144" s="24">
        <v>2301779</v>
      </c>
      <c r="S144" s="25">
        <f t="shared" si="25"/>
        <v>6.3006483246219561E-2</v>
      </c>
      <c r="U144" s="2">
        <v>1986</v>
      </c>
      <c r="V144" s="2">
        <v>7</v>
      </c>
      <c r="W144" s="16">
        <f t="shared" si="20"/>
        <v>967928</v>
      </c>
      <c r="X144" s="64">
        <v>859827</v>
      </c>
      <c r="Y144" s="64">
        <v>96962</v>
      </c>
      <c r="Z144" s="23">
        <v>2702</v>
      </c>
      <c r="AA144" s="23">
        <v>1819</v>
      </c>
      <c r="AB144" s="23">
        <v>6602</v>
      </c>
      <c r="AC144" s="23">
        <v>2</v>
      </c>
      <c r="AD144" s="23">
        <v>14</v>
      </c>
      <c r="AE144" s="20">
        <f t="shared" si="13"/>
        <v>16</v>
      </c>
      <c r="AF144" s="20">
        <f t="shared" si="21"/>
        <v>967912</v>
      </c>
    </row>
    <row r="145" spans="1:32">
      <c r="A145" s="2">
        <v>1986</v>
      </c>
      <c r="B145" s="2">
        <v>8</v>
      </c>
      <c r="C145" s="16">
        <f t="shared" si="18"/>
        <v>2096119</v>
      </c>
      <c r="D145" s="17">
        <v>1043768</v>
      </c>
      <c r="E145" s="17">
        <v>545359</v>
      </c>
      <c r="F145" s="18">
        <v>270135</v>
      </c>
      <c r="G145" s="18">
        <v>94235</v>
      </c>
      <c r="H145" s="19">
        <f t="shared" si="19"/>
        <v>175900</v>
      </c>
      <c r="I145" s="18">
        <v>1522</v>
      </c>
      <c r="J145" s="18">
        <v>113201</v>
      </c>
      <c r="K145" s="18">
        <v>182</v>
      </c>
      <c r="L145" s="18">
        <v>121952</v>
      </c>
      <c r="M145" s="65">
        <v>1471291</v>
      </c>
      <c r="N145" s="20">
        <f t="shared" si="22"/>
        <v>915</v>
      </c>
      <c r="O145" s="20">
        <f t="shared" si="23"/>
        <v>2097034</v>
      </c>
      <c r="P145" s="65">
        <v>14949</v>
      </c>
      <c r="Q145" s="20">
        <f t="shared" si="24"/>
        <v>157716</v>
      </c>
      <c r="R145" s="24">
        <v>2269699</v>
      </c>
      <c r="S145" s="25">
        <f t="shared" si="25"/>
        <v>6.9487628095179138E-2</v>
      </c>
      <c r="U145" s="2">
        <v>1986</v>
      </c>
      <c r="V145" s="2">
        <v>8</v>
      </c>
      <c r="W145" s="16">
        <f t="shared" si="20"/>
        <v>970650</v>
      </c>
      <c r="X145" s="64">
        <v>862022</v>
      </c>
      <c r="Y145" s="64">
        <v>97439</v>
      </c>
      <c r="Z145" s="23">
        <v>2710</v>
      </c>
      <c r="AA145" s="23">
        <v>1832</v>
      </c>
      <c r="AB145" s="23">
        <v>6631</v>
      </c>
      <c r="AC145" s="23">
        <v>2</v>
      </c>
      <c r="AD145" s="23">
        <v>14</v>
      </c>
      <c r="AE145" s="20">
        <f t="shared" si="13"/>
        <v>16</v>
      </c>
      <c r="AF145" s="20">
        <f t="shared" si="21"/>
        <v>970634</v>
      </c>
    </row>
    <row r="146" spans="1:32">
      <c r="A146" s="2">
        <v>1986</v>
      </c>
      <c r="B146" s="2">
        <v>9</v>
      </c>
      <c r="C146" s="16">
        <f t="shared" si="18"/>
        <v>2076502</v>
      </c>
      <c r="D146" s="17">
        <v>1003900</v>
      </c>
      <c r="E146" s="17">
        <v>535182</v>
      </c>
      <c r="F146" s="18">
        <v>271514</v>
      </c>
      <c r="G146" s="18">
        <v>99511</v>
      </c>
      <c r="H146" s="19">
        <f t="shared" si="19"/>
        <v>172003</v>
      </c>
      <c r="I146" s="18">
        <v>1509</v>
      </c>
      <c r="J146" s="18">
        <v>120276</v>
      </c>
      <c r="K146" s="18">
        <v>2301</v>
      </c>
      <c r="L146" s="18">
        <v>141820</v>
      </c>
      <c r="M146" s="65">
        <v>1385228</v>
      </c>
      <c r="N146" s="20">
        <f t="shared" si="22"/>
        <v>-86063</v>
      </c>
      <c r="O146" s="20">
        <f t="shared" si="23"/>
        <v>1990439</v>
      </c>
      <c r="P146" s="65">
        <v>14670</v>
      </c>
      <c r="Q146" s="20">
        <f t="shared" si="24"/>
        <v>186019</v>
      </c>
      <c r="R146" s="24">
        <v>2191128</v>
      </c>
      <c r="S146" s="25">
        <f t="shared" si="25"/>
        <v>8.489645515916916E-2</v>
      </c>
      <c r="U146" s="2">
        <v>1986</v>
      </c>
      <c r="V146" s="2">
        <v>9</v>
      </c>
      <c r="W146" s="16">
        <f t="shared" si="20"/>
        <v>975833</v>
      </c>
      <c r="X146" s="64">
        <v>866581</v>
      </c>
      <c r="Y146" s="64">
        <v>97968</v>
      </c>
      <c r="Z146" s="23">
        <v>2718</v>
      </c>
      <c r="AA146" s="23">
        <v>1856</v>
      </c>
      <c r="AB146" s="23">
        <v>6694</v>
      </c>
      <c r="AC146" s="23">
        <v>2</v>
      </c>
      <c r="AD146" s="23">
        <v>14</v>
      </c>
      <c r="AE146" s="20">
        <f t="shared" si="13"/>
        <v>16</v>
      </c>
      <c r="AF146" s="20">
        <f t="shared" si="21"/>
        <v>975817</v>
      </c>
    </row>
    <row r="147" spans="1:32">
      <c r="A147" s="2">
        <v>1986</v>
      </c>
      <c r="B147" s="2">
        <v>10</v>
      </c>
      <c r="C147" s="16">
        <f t="shared" si="18"/>
        <v>1977034</v>
      </c>
      <c r="D147" s="17">
        <v>948534</v>
      </c>
      <c r="E147" s="17">
        <v>520334</v>
      </c>
      <c r="F147" s="18">
        <v>267367</v>
      </c>
      <c r="G147" s="18">
        <v>97070</v>
      </c>
      <c r="H147" s="19">
        <f t="shared" si="19"/>
        <v>170297</v>
      </c>
      <c r="I147" s="18">
        <v>1555</v>
      </c>
      <c r="J147" s="18">
        <v>125365</v>
      </c>
      <c r="K147" s="18">
        <v>1156</v>
      </c>
      <c r="L147" s="18">
        <v>112723</v>
      </c>
      <c r="M147" s="65">
        <v>1182790</v>
      </c>
      <c r="N147" s="20">
        <f t="shared" si="22"/>
        <v>-202438</v>
      </c>
      <c r="O147" s="20">
        <f t="shared" si="23"/>
        <v>1774596</v>
      </c>
      <c r="P147" s="65">
        <v>16420</v>
      </c>
      <c r="Q147" s="20">
        <f t="shared" si="24"/>
        <v>152186</v>
      </c>
      <c r="R147" s="24">
        <v>1943202</v>
      </c>
      <c r="S147" s="25">
        <f t="shared" si="25"/>
        <v>7.8317128121523139E-2</v>
      </c>
      <c r="U147" s="2">
        <v>1986</v>
      </c>
      <c r="V147" s="2">
        <v>10</v>
      </c>
      <c r="W147" s="16">
        <f t="shared" si="20"/>
        <v>982303</v>
      </c>
      <c r="X147" s="64">
        <v>872584</v>
      </c>
      <c r="Y147" s="64">
        <v>98384</v>
      </c>
      <c r="Z147" s="23">
        <v>2715</v>
      </c>
      <c r="AA147" s="23">
        <v>1873</v>
      </c>
      <c r="AB147" s="23">
        <v>6731</v>
      </c>
      <c r="AC147" s="23">
        <v>2</v>
      </c>
      <c r="AD147" s="23">
        <v>14</v>
      </c>
      <c r="AE147" s="20">
        <f t="shared" ref="AE147:AE210" si="26">SUM(AC147:AD147)</f>
        <v>16</v>
      </c>
      <c r="AF147" s="20">
        <f t="shared" si="21"/>
        <v>982287</v>
      </c>
    </row>
    <row r="148" spans="1:32">
      <c r="A148" s="2">
        <v>1986</v>
      </c>
      <c r="B148" s="2">
        <v>11</v>
      </c>
      <c r="C148" s="16">
        <f t="shared" si="18"/>
        <v>1670297</v>
      </c>
      <c r="D148" s="17">
        <v>700339</v>
      </c>
      <c r="E148" s="17">
        <v>479072</v>
      </c>
      <c r="F148" s="18">
        <v>262550</v>
      </c>
      <c r="G148" s="18">
        <v>97334</v>
      </c>
      <c r="H148" s="19">
        <f t="shared" si="19"/>
        <v>165216</v>
      </c>
      <c r="I148" s="18">
        <v>1550</v>
      </c>
      <c r="J148" s="18">
        <v>113097</v>
      </c>
      <c r="K148" s="18">
        <v>347</v>
      </c>
      <c r="L148" s="18">
        <v>113342</v>
      </c>
      <c r="M148" s="65">
        <v>1095536</v>
      </c>
      <c r="N148" s="20">
        <f t="shared" si="22"/>
        <v>-87254</v>
      </c>
      <c r="O148" s="20">
        <f t="shared" si="23"/>
        <v>1583043</v>
      </c>
      <c r="P148" s="65">
        <v>21117</v>
      </c>
      <c r="Q148" s="20">
        <f t="shared" si="24"/>
        <v>123523</v>
      </c>
      <c r="R148" s="24">
        <v>1727683</v>
      </c>
      <c r="S148" s="25">
        <f t="shared" si="25"/>
        <v>7.1496333528778142E-2</v>
      </c>
      <c r="U148" s="2">
        <v>1986</v>
      </c>
      <c r="V148" s="2">
        <v>11</v>
      </c>
      <c r="W148" s="16">
        <f t="shared" si="20"/>
        <v>996796</v>
      </c>
      <c r="X148" s="64">
        <v>886344</v>
      </c>
      <c r="Y148" s="64">
        <v>99063</v>
      </c>
      <c r="Z148" s="23">
        <v>2718</v>
      </c>
      <c r="AA148" s="23">
        <v>1876</v>
      </c>
      <c r="AB148" s="23">
        <v>6779</v>
      </c>
      <c r="AC148" s="23">
        <v>2</v>
      </c>
      <c r="AD148" s="23">
        <v>14</v>
      </c>
      <c r="AE148" s="20">
        <f t="shared" si="26"/>
        <v>16</v>
      </c>
      <c r="AF148" s="20">
        <f t="shared" si="21"/>
        <v>996780</v>
      </c>
    </row>
    <row r="149" spans="1:32">
      <c r="A149" s="2">
        <v>1986</v>
      </c>
      <c r="B149" s="2">
        <v>12</v>
      </c>
      <c r="C149" s="16">
        <f t="shared" si="18"/>
        <v>1664654</v>
      </c>
      <c r="D149" s="17">
        <v>697331</v>
      </c>
      <c r="E149" s="17">
        <v>475735</v>
      </c>
      <c r="F149" s="18">
        <v>280900</v>
      </c>
      <c r="G149" s="18">
        <v>99831</v>
      </c>
      <c r="H149" s="19">
        <f t="shared" si="19"/>
        <v>181069</v>
      </c>
      <c r="I149" s="18">
        <v>1568</v>
      </c>
      <c r="J149" s="18">
        <v>114090</v>
      </c>
      <c r="K149" s="18">
        <v>527</v>
      </c>
      <c r="L149" s="18">
        <v>94503</v>
      </c>
      <c r="M149" s="65">
        <v>1023106</v>
      </c>
      <c r="N149" s="20">
        <f t="shared" si="22"/>
        <v>-72430</v>
      </c>
      <c r="O149" s="20">
        <f t="shared" si="23"/>
        <v>1592224</v>
      </c>
      <c r="P149" s="65">
        <v>17297</v>
      </c>
      <c r="Q149" s="20">
        <f t="shared" si="24"/>
        <v>63717</v>
      </c>
      <c r="R149" s="24">
        <v>1673238</v>
      </c>
      <c r="S149" s="25">
        <f t="shared" si="25"/>
        <v>3.8080057947524504E-2</v>
      </c>
      <c r="U149" s="2">
        <v>1986</v>
      </c>
      <c r="V149" s="2">
        <v>12</v>
      </c>
      <c r="W149" s="16">
        <f t="shared" si="20"/>
        <v>1009441</v>
      </c>
      <c r="X149" s="64">
        <v>898379</v>
      </c>
      <c r="Y149" s="64">
        <v>99576</v>
      </c>
      <c r="Z149" s="23">
        <v>2769</v>
      </c>
      <c r="AA149" s="23">
        <v>1888</v>
      </c>
      <c r="AB149" s="23">
        <v>6813</v>
      </c>
      <c r="AC149" s="23">
        <v>2</v>
      </c>
      <c r="AD149" s="23">
        <v>14</v>
      </c>
      <c r="AE149" s="20">
        <f t="shared" si="26"/>
        <v>16</v>
      </c>
      <c r="AF149" s="20">
        <f t="shared" si="21"/>
        <v>1009425</v>
      </c>
    </row>
    <row r="150" spans="1:32">
      <c r="A150" s="2">
        <v>1987</v>
      </c>
      <c r="B150" s="2">
        <v>1</v>
      </c>
      <c r="C150" s="16">
        <f t="shared" si="18"/>
        <v>1685276</v>
      </c>
      <c r="D150" s="17">
        <v>814103</v>
      </c>
      <c r="E150" s="17">
        <v>433548</v>
      </c>
      <c r="F150" s="18">
        <v>245835</v>
      </c>
      <c r="G150" s="18">
        <v>82211</v>
      </c>
      <c r="H150" s="19">
        <f t="shared" si="19"/>
        <v>163624</v>
      </c>
      <c r="I150" s="18">
        <v>1608</v>
      </c>
      <c r="J150" s="18">
        <v>97439</v>
      </c>
      <c r="K150" s="18">
        <v>75</v>
      </c>
      <c r="L150" s="18">
        <v>92668</v>
      </c>
      <c r="M150" s="65">
        <v>1220249</v>
      </c>
      <c r="N150" s="20">
        <f t="shared" si="22"/>
        <v>197143</v>
      </c>
      <c r="O150" s="20">
        <f t="shared" si="23"/>
        <v>1882419</v>
      </c>
      <c r="P150" s="65">
        <v>17611</v>
      </c>
      <c r="Q150" s="20">
        <f t="shared" si="24"/>
        <v>92572</v>
      </c>
      <c r="R150" s="24">
        <v>1992602</v>
      </c>
      <c r="S150" s="25">
        <f t="shared" si="25"/>
        <v>4.6457847578191734E-2</v>
      </c>
      <c r="U150" s="2">
        <v>1987</v>
      </c>
      <c r="V150" s="2">
        <v>1</v>
      </c>
      <c r="W150" s="16">
        <f t="shared" si="20"/>
        <v>1018604</v>
      </c>
      <c r="X150" s="64">
        <v>907206</v>
      </c>
      <c r="Y150" s="64">
        <v>99818</v>
      </c>
      <c r="Z150" s="23">
        <v>2816</v>
      </c>
      <c r="AA150" s="23">
        <v>1899</v>
      </c>
      <c r="AB150" s="23">
        <v>6848</v>
      </c>
      <c r="AC150" s="23">
        <v>2</v>
      </c>
      <c r="AD150" s="23">
        <v>15</v>
      </c>
      <c r="AE150" s="20">
        <f t="shared" si="26"/>
        <v>17</v>
      </c>
      <c r="AF150" s="20">
        <f t="shared" si="21"/>
        <v>1018587</v>
      </c>
    </row>
    <row r="151" spans="1:32">
      <c r="A151" s="2">
        <v>1987</v>
      </c>
      <c r="B151" s="2">
        <v>2</v>
      </c>
      <c r="C151" s="16">
        <f t="shared" si="18"/>
        <v>1709980</v>
      </c>
      <c r="D151" s="17">
        <v>857962</v>
      </c>
      <c r="E151" s="17">
        <v>404059</v>
      </c>
      <c r="F151" s="18">
        <v>252932</v>
      </c>
      <c r="G151" s="18">
        <v>90652</v>
      </c>
      <c r="H151" s="19">
        <f t="shared" si="19"/>
        <v>162280</v>
      </c>
      <c r="I151" s="18">
        <v>1540</v>
      </c>
      <c r="J151" s="18">
        <v>97115</v>
      </c>
      <c r="K151" s="18">
        <v>60</v>
      </c>
      <c r="L151" s="18">
        <v>96312</v>
      </c>
      <c r="M151" s="65">
        <v>1011631</v>
      </c>
      <c r="N151" s="20">
        <f t="shared" si="22"/>
        <v>-208618</v>
      </c>
      <c r="O151" s="20">
        <f t="shared" si="23"/>
        <v>1501362</v>
      </c>
      <c r="P151" s="65">
        <v>9301</v>
      </c>
      <c r="Q151" s="20">
        <f t="shared" si="24"/>
        <v>148983</v>
      </c>
      <c r="R151" s="24">
        <v>1659646</v>
      </c>
      <c r="S151" s="25">
        <f t="shared" si="25"/>
        <v>8.9767938463985689E-2</v>
      </c>
      <c r="U151" s="2">
        <v>1987</v>
      </c>
      <c r="V151" s="2">
        <v>2</v>
      </c>
      <c r="W151" s="16">
        <f t="shared" si="20"/>
        <v>1024663</v>
      </c>
      <c r="X151" s="64">
        <v>912649</v>
      </c>
      <c r="Y151" s="64">
        <v>100355</v>
      </c>
      <c r="Z151" s="23">
        <v>2854</v>
      </c>
      <c r="AA151" s="23">
        <v>1914</v>
      </c>
      <c r="AB151" s="23">
        <v>6874</v>
      </c>
      <c r="AC151" s="23">
        <v>2</v>
      </c>
      <c r="AD151" s="23">
        <v>15</v>
      </c>
      <c r="AE151" s="20">
        <f t="shared" si="26"/>
        <v>17</v>
      </c>
      <c r="AF151" s="20">
        <f t="shared" si="21"/>
        <v>1024646</v>
      </c>
    </row>
    <row r="152" spans="1:32">
      <c r="A152" s="2">
        <v>1987</v>
      </c>
      <c r="B152" s="2">
        <v>3</v>
      </c>
      <c r="C152" s="16">
        <f t="shared" si="18"/>
        <v>1591753</v>
      </c>
      <c r="D152" s="17">
        <v>708341</v>
      </c>
      <c r="E152" s="17">
        <v>410883</v>
      </c>
      <c r="F152" s="18">
        <v>266785</v>
      </c>
      <c r="G152" s="18">
        <v>97693</v>
      </c>
      <c r="H152" s="19">
        <f t="shared" si="19"/>
        <v>169092</v>
      </c>
      <c r="I152" s="18">
        <v>1512</v>
      </c>
      <c r="J152" s="18">
        <v>97840</v>
      </c>
      <c r="K152" s="18">
        <v>5722</v>
      </c>
      <c r="L152" s="18">
        <v>100670</v>
      </c>
      <c r="M152" s="65">
        <v>1029090</v>
      </c>
      <c r="N152" s="20">
        <f t="shared" si="22"/>
        <v>17459</v>
      </c>
      <c r="O152" s="20">
        <f t="shared" si="23"/>
        <v>1609212</v>
      </c>
      <c r="P152" s="65">
        <v>9988</v>
      </c>
      <c r="Q152" s="20">
        <f t="shared" si="24"/>
        <v>110778</v>
      </c>
      <c r="R152" s="24">
        <v>1729978</v>
      </c>
      <c r="S152" s="25">
        <f t="shared" si="25"/>
        <v>6.4034340321090788E-2</v>
      </c>
      <c r="U152" s="2">
        <v>1987</v>
      </c>
      <c r="V152" s="2">
        <v>3</v>
      </c>
      <c r="W152" s="16">
        <f t="shared" si="20"/>
        <v>1028151</v>
      </c>
      <c r="X152" s="64">
        <v>915593</v>
      </c>
      <c r="Y152" s="64">
        <v>100874</v>
      </c>
      <c r="Z152" s="23">
        <v>2850</v>
      </c>
      <c r="AA152" s="23">
        <v>1910</v>
      </c>
      <c r="AB152" s="23">
        <v>6907</v>
      </c>
      <c r="AC152" s="23">
        <v>2</v>
      </c>
      <c r="AD152" s="23">
        <v>15</v>
      </c>
      <c r="AE152" s="20">
        <f t="shared" si="26"/>
        <v>17</v>
      </c>
      <c r="AF152" s="20">
        <f t="shared" si="21"/>
        <v>1028134</v>
      </c>
    </row>
    <row r="153" spans="1:32">
      <c r="A153" s="2">
        <v>1987</v>
      </c>
      <c r="B153" s="2">
        <v>4</v>
      </c>
      <c r="C153" s="16">
        <f t="shared" si="18"/>
        <v>1584686</v>
      </c>
      <c r="D153" s="17">
        <v>693943</v>
      </c>
      <c r="E153" s="17">
        <v>426751</v>
      </c>
      <c r="F153" s="18">
        <v>266517</v>
      </c>
      <c r="G153" s="18">
        <v>97633</v>
      </c>
      <c r="H153" s="19">
        <f t="shared" si="19"/>
        <v>168884</v>
      </c>
      <c r="I153" s="18">
        <v>1560</v>
      </c>
      <c r="J153" s="18">
        <v>99066</v>
      </c>
      <c r="K153" s="18">
        <v>1940</v>
      </c>
      <c r="L153" s="18">
        <v>94909</v>
      </c>
      <c r="M153" s="65">
        <v>1049827</v>
      </c>
      <c r="N153" s="20">
        <f t="shared" si="22"/>
        <v>20737</v>
      </c>
      <c r="O153" s="20">
        <f t="shared" si="23"/>
        <v>1605423</v>
      </c>
      <c r="P153" s="65">
        <v>11425</v>
      </c>
      <c r="Q153" s="20">
        <f t="shared" si="24"/>
        <v>100023</v>
      </c>
      <c r="R153" s="24">
        <v>1716871</v>
      </c>
      <c r="S153" s="25">
        <f t="shared" si="25"/>
        <v>5.8258890737859746E-2</v>
      </c>
      <c r="U153" s="2">
        <v>1987</v>
      </c>
      <c r="V153" s="2">
        <v>4</v>
      </c>
      <c r="W153" s="16">
        <f t="shared" si="20"/>
        <v>1024907</v>
      </c>
      <c r="X153" s="64">
        <v>911637</v>
      </c>
      <c r="Y153" s="64">
        <v>101482</v>
      </c>
      <c r="Z153" s="23">
        <v>2872</v>
      </c>
      <c r="AA153" s="23">
        <v>1917</v>
      </c>
      <c r="AB153" s="23">
        <v>6982</v>
      </c>
      <c r="AC153" s="23">
        <v>2</v>
      </c>
      <c r="AD153" s="23">
        <v>15</v>
      </c>
      <c r="AE153" s="20">
        <f t="shared" si="26"/>
        <v>17</v>
      </c>
      <c r="AF153" s="20">
        <f t="shared" si="21"/>
        <v>1024890</v>
      </c>
    </row>
    <row r="154" spans="1:32">
      <c r="A154" s="2">
        <v>1987</v>
      </c>
      <c r="B154" s="2">
        <v>5</v>
      </c>
      <c r="C154" s="16">
        <f t="shared" si="18"/>
        <v>1637354</v>
      </c>
      <c r="D154" s="17">
        <v>669332</v>
      </c>
      <c r="E154" s="17">
        <v>474597</v>
      </c>
      <c r="F154" s="18">
        <v>281141</v>
      </c>
      <c r="G154" s="18">
        <v>98950</v>
      </c>
      <c r="H154" s="19">
        <f t="shared" si="19"/>
        <v>182191</v>
      </c>
      <c r="I154" s="18">
        <v>1749</v>
      </c>
      <c r="J154" s="18">
        <v>109363</v>
      </c>
      <c r="K154" s="18">
        <v>93</v>
      </c>
      <c r="L154" s="18">
        <v>101079</v>
      </c>
      <c r="M154" s="65">
        <v>1263654</v>
      </c>
      <c r="N154" s="20">
        <f t="shared" si="22"/>
        <v>213827</v>
      </c>
      <c r="O154" s="20">
        <f t="shared" si="23"/>
        <v>1851181</v>
      </c>
      <c r="P154" s="65">
        <v>10021</v>
      </c>
      <c r="Q154" s="20">
        <f t="shared" si="24"/>
        <v>134940</v>
      </c>
      <c r="R154" s="24">
        <v>1996142</v>
      </c>
      <c r="S154" s="25">
        <f t="shared" si="25"/>
        <v>6.7600401173864386E-2</v>
      </c>
      <c r="U154" s="2">
        <v>1987</v>
      </c>
      <c r="V154" s="2">
        <v>5</v>
      </c>
      <c r="W154" s="16">
        <f t="shared" si="20"/>
        <v>1010545</v>
      </c>
      <c r="X154" s="64">
        <v>897058</v>
      </c>
      <c r="Y154" s="64">
        <v>101665</v>
      </c>
      <c r="Z154" s="23">
        <v>2873</v>
      </c>
      <c r="AA154" s="23">
        <v>1922</v>
      </c>
      <c r="AB154" s="23">
        <v>7011</v>
      </c>
      <c r="AC154" s="23">
        <v>2</v>
      </c>
      <c r="AD154" s="23">
        <v>14</v>
      </c>
      <c r="AE154" s="20">
        <f t="shared" si="26"/>
        <v>16</v>
      </c>
      <c r="AF154" s="20">
        <f t="shared" si="21"/>
        <v>1010529</v>
      </c>
    </row>
    <row r="155" spans="1:32">
      <c r="A155" s="2">
        <v>1987</v>
      </c>
      <c r="B155" s="2">
        <v>6</v>
      </c>
      <c r="C155" s="16">
        <f t="shared" si="18"/>
        <v>1949704</v>
      </c>
      <c r="D155" s="17">
        <v>874517</v>
      </c>
      <c r="E155" s="17">
        <v>549575</v>
      </c>
      <c r="F155" s="18">
        <v>298527</v>
      </c>
      <c r="G155" s="18">
        <v>107356</v>
      </c>
      <c r="H155" s="19">
        <f t="shared" si="19"/>
        <v>191171</v>
      </c>
      <c r="I155" s="18">
        <v>1585</v>
      </c>
      <c r="J155" s="18">
        <v>121525</v>
      </c>
      <c r="K155" s="18">
        <v>578</v>
      </c>
      <c r="L155" s="18">
        <v>103397</v>
      </c>
      <c r="M155" s="65">
        <v>1451717</v>
      </c>
      <c r="N155" s="20">
        <f t="shared" si="22"/>
        <v>188063</v>
      </c>
      <c r="O155" s="20">
        <f t="shared" si="23"/>
        <v>2137767</v>
      </c>
      <c r="P155" s="65">
        <v>13688</v>
      </c>
      <c r="Q155" s="20">
        <f t="shared" si="24"/>
        <v>221516</v>
      </c>
      <c r="R155" s="24">
        <v>2372971</v>
      </c>
      <c r="S155" s="25">
        <f t="shared" si="25"/>
        <v>9.334964481234706E-2</v>
      </c>
      <c r="U155" s="2">
        <v>1987</v>
      </c>
      <c r="V155" s="2">
        <v>6</v>
      </c>
      <c r="W155" s="16">
        <f t="shared" si="20"/>
        <v>1010243</v>
      </c>
      <c r="X155" s="64">
        <v>895849</v>
      </c>
      <c r="Y155" s="64">
        <v>102486</v>
      </c>
      <c r="Z155" s="23">
        <v>2880</v>
      </c>
      <c r="AA155" s="23">
        <v>1936</v>
      </c>
      <c r="AB155" s="23">
        <v>7075</v>
      </c>
      <c r="AC155" s="23">
        <v>2</v>
      </c>
      <c r="AD155" s="23">
        <v>15</v>
      </c>
      <c r="AE155" s="20">
        <f t="shared" si="26"/>
        <v>17</v>
      </c>
      <c r="AF155" s="20">
        <f t="shared" si="21"/>
        <v>1010226</v>
      </c>
    </row>
    <row r="156" spans="1:32">
      <c r="A156" s="2">
        <v>1987</v>
      </c>
      <c r="B156" s="2">
        <v>7</v>
      </c>
      <c r="C156" s="16">
        <f t="shared" si="18"/>
        <v>2274910</v>
      </c>
      <c r="D156" s="17">
        <v>1117089</v>
      </c>
      <c r="E156" s="17">
        <v>605499</v>
      </c>
      <c r="F156" s="18">
        <v>296191</v>
      </c>
      <c r="G156" s="18">
        <v>105505</v>
      </c>
      <c r="H156" s="19">
        <f t="shared" si="19"/>
        <v>190686</v>
      </c>
      <c r="I156" s="18">
        <v>1592</v>
      </c>
      <c r="J156" s="18">
        <v>119349</v>
      </c>
      <c r="K156" s="18">
        <v>63</v>
      </c>
      <c r="L156" s="18">
        <v>135127</v>
      </c>
      <c r="M156" s="65">
        <v>1469841</v>
      </c>
      <c r="N156" s="20">
        <f t="shared" si="22"/>
        <v>18124</v>
      </c>
      <c r="O156" s="20">
        <f t="shared" si="23"/>
        <v>2293034</v>
      </c>
      <c r="P156" s="65">
        <v>19545</v>
      </c>
      <c r="Q156" s="20">
        <f t="shared" si="24"/>
        <v>184652</v>
      </c>
      <c r="R156" s="24">
        <v>2497231</v>
      </c>
      <c r="S156" s="25">
        <f t="shared" si="25"/>
        <v>7.394269893333856E-2</v>
      </c>
      <c r="U156" s="2">
        <v>1987</v>
      </c>
      <c r="V156" s="2">
        <v>7</v>
      </c>
      <c r="W156" s="16">
        <f t="shared" si="20"/>
        <v>1010640</v>
      </c>
      <c r="X156" s="64">
        <v>895833</v>
      </c>
      <c r="Y156" s="64">
        <v>102883</v>
      </c>
      <c r="Z156" s="23">
        <v>2872</v>
      </c>
      <c r="AA156" s="23">
        <v>1938</v>
      </c>
      <c r="AB156" s="23">
        <v>7096</v>
      </c>
      <c r="AC156" s="23">
        <v>2</v>
      </c>
      <c r="AD156" s="23">
        <v>16</v>
      </c>
      <c r="AE156" s="20">
        <f t="shared" si="26"/>
        <v>18</v>
      </c>
      <c r="AF156" s="20">
        <f t="shared" si="21"/>
        <v>1010622</v>
      </c>
    </row>
    <row r="157" spans="1:32">
      <c r="A157" s="2">
        <v>1987</v>
      </c>
      <c r="B157" s="2">
        <v>8</v>
      </c>
      <c r="C157" s="16">
        <f t="shared" si="18"/>
        <v>2315152</v>
      </c>
      <c r="D157" s="17">
        <v>1151138</v>
      </c>
      <c r="E157" s="17">
        <v>608940</v>
      </c>
      <c r="F157" s="18">
        <v>281955</v>
      </c>
      <c r="G157" s="18">
        <v>95923</v>
      </c>
      <c r="H157" s="19">
        <f t="shared" si="19"/>
        <v>186032</v>
      </c>
      <c r="I157" s="18">
        <v>1600</v>
      </c>
      <c r="J157" s="18">
        <v>118359</v>
      </c>
      <c r="K157" s="18">
        <v>3794</v>
      </c>
      <c r="L157" s="18">
        <v>149366</v>
      </c>
      <c r="M157" s="65">
        <v>1601368</v>
      </c>
      <c r="N157" s="20">
        <f t="shared" si="22"/>
        <v>131527</v>
      </c>
      <c r="O157" s="20">
        <f t="shared" si="23"/>
        <v>2446679</v>
      </c>
      <c r="P157" s="65">
        <v>17567</v>
      </c>
      <c r="Q157" s="20">
        <f t="shared" si="24"/>
        <v>159935</v>
      </c>
      <c r="R157" s="24">
        <v>2624181</v>
      </c>
      <c r="S157" s="25">
        <f t="shared" si="25"/>
        <v>6.0946634397551082E-2</v>
      </c>
      <c r="U157" s="2">
        <v>1987</v>
      </c>
      <c r="V157" s="2">
        <v>8</v>
      </c>
      <c r="W157" s="16">
        <f t="shared" si="20"/>
        <v>1014217</v>
      </c>
      <c r="X157" s="64">
        <v>898878</v>
      </c>
      <c r="Y157" s="64">
        <v>103348</v>
      </c>
      <c r="Z157" s="23">
        <v>2880</v>
      </c>
      <c r="AA157" s="23">
        <v>1944</v>
      </c>
      <c r="AB157" s="23">
        <v>7150</v>
      </c>
      <c r="AC157" s="23">
        <v>2</v>
      </c>
      <c r="AD157" s="23">
        <v>15</v>
      </c>
      <c r="AE157" s="20">
        <f t="shared" si="26"/>
        <v>17</v>
      </c>
      <c r="AF157" s="20">
        <f t="shared" si="21"/>
        <v>1014200</v>
      </c>
    </row>
    <row r="158" spans="1:32">
      <c r="A158" s="2">
        <v>1987</v>
      </c>
      <c r="B158" s="2">
        <v>9</v>
      </c>
      <c r="C158" s="16">
        <f t="shared" si="18"/>
        <v>2361160</v>
      </c>
      <c r="D158" s="17">
        <v>1157047</v>
      </c>
      <c r="E158" s="17">
        <v>603758</v>
      </c>
      <c r="F158" s="18">
        <v>306500</v>
      </c>
      <c r="G158" s="18">
        <v>116222</v>
      </c>
      <c r="H158" s="19">
        <f t="shared" si="19"/>
        <v>190278</v>
      </c>
      <c r="I158" s="18">
        <v>1590</v>
      </c>
      <c r="J158" s="18">
        <v>129468</v>
      </c>
      <c r="K158" s="18">
        <v>10085</v>
      </c>
      <c r="L158" s="18">
        <v>152712</v>
      </c>
      <c r="M158" s="65">
        <v>1410033</v>
      </c>
      <c r="N158" s="20">
        <f t="shared" si="22"/>
        <v>-191335</v>
      </c>
      <c r="O158" s="20">
        <f t="shared" si="23"/>
        <v>2169825</v>
      </c>
      <c r="P158" s="65">
        <v>20388</v>
      </c>
      <c r="Q158" s="20">
        <f t="shared" si="24"/>
        <v>143829</v>
      </c>
      <c r="R158" s="24">
        <v>2334042</v>
      </c>
      <c r="S158" s="25">
        <f t="shared" si="25"/>
        <v>6.1622284431899682E-2</v>
      </c>
      <c r="U158" s="2">
        <v>1987</v>
      </c>
      <c r="V158" s="2">
        <v>9</v>
      </c>
      <c r="W158" s="16">
        <f t="shared" si="20"/>
        <v>1017602</v>
      </c>
      <c r="X158" s="64">
        <v>901670</v>
      </c>
      <c r="Y158" s="64">
        <v>103862</v>
      </c>
      <c r="Z158" s="23">
        <v>2881</v>
      </c>
      <c r="AA158" s="23">
        <v>1950</v>
      </c>
      <c r="AB158" s="23">
        <v>7221</v>
      </c>
      <c r="AC158" s="23">
        <v>2</v>
      </c>
      <c r="AD158" s="23">
        <v>16</v>
      </c>
      <c r="AE158" s="20">
        <f t="shared" si="26"/>
        <v>18</v>
      </c>
      <c r="AF158" s="20">
        <f t="shared" si="21"/>
        <v>1017584</v>
      </c>
    </row>
    <row r="159" spans="1:32">
      <c r="A159" s="2">
        <v>1987</v>
      </c>
      <c r="B159" s="2">
        <v>10</v>
      </c>
      <c r="C159" s="16">
        <f t="shared" si="18"/>
        <v>2028182</v>
      </c>
      <c r="D159" s="17">
        <v>901124</v>
      </c>
      <c r="E159" s="17">
        <v>547787</v>
      </c>
      <c r="F159" s="18">
        <v>286152</v>
      </c>
      <c r="G159" s="18">
        <v>103543</v>
      </c>
      <c r="H159" s="19">
        <f t="shared" si="19"/>
        <v>182609</v>
      </c>
      <c r="I159" s="18">
        <v>1610</v>
      </c>
      <c r="J159" s="18">
        <v>126098</v>
      </c>
      <c r="K159" s="18">
        <v>20870</v>
      </c>
      <c r="L159" s="18">
        <v>144541</v>
      </c>
      <c r="M159" s="65">
        <v>1095280</v>
      </c>
      <c r="N159" s="20">
        <f t="shared" si="22"/>
        <v>-314753</v>
      </c>
      <c r="O159" s="20">
        <f t="shared" si="23"/>
        <v>1713429</v>
      </c>
      <c r="P159" s="65">
        <v>20439</v>
      </c>
      <c r="Q159" s="20">
        <f t="shared" si="24"/>
        <v>21491</v>
      </c>
      <c r="R159" s="24">
        <v>1755359</v>
      </c>
      <c r="S159" s="25">
        <f t="shared" si="25"/>
        <v>1.2243079620749943E-2</v>
      </c>
      <c r="U159" s="2">
        <v>1987</v>
      </c>
      <c r="V159" s="2">
        <v>10</v>
      </c>
      <c r="W159" s="16">
        <f t="shared" si="20"/>
        <v>1023920</v>
      </c>
      <c r="X159" s="64">
        <v>907632</v>
      </c>
      <c r="Y159" s="64">
        <v>104189</v>
      </c>
      <c r="Z159" s="23">
        <v>2890</v>
      </c>
      <c r="AA159" s="23">
        <v>1951</v>
      </c>
      <c r="AB159" s="23">
        <v>7240</v>
      </c>
      <c r="AC159" s="23">
        <v>2</v>
      </c>
      <c r="AD159" s="23">
        <v>16</v>
      </c>
      <c r="AE159" s="20">
        <f t="shared" si="26"/>
        <v>18</v>
      </c>
      <c r="AF159" s="20">
        <f t="shared" si="21"/>
        <v>1023902</v>
      </c>
    </row>
    <row r="160" spans="1:32">
      <c r="A160" s="2">
        <v>1987</v>
      </c>
      <c r="B160" s="2">
        <v>11</v>
      </c>
      <c r="C160" s="16">
        <f t="shared" si="18"/>
        <v>1637014</v>
      </c>
      <c r="D160" s="17">
        <v>626592</v>
      </c>
      <c r="E160" s="17">
        <v>479612</v>
      </c>
      <c r="F160" s="18">
        <v>290450</v>
      </c>
      <c r="G160" s="18">
        <v>111571</v>
      </c>
      <c r="H160" s="19">
        <f t="shared" si="19"/>
        <v>178879</v>
      </c>
      <c r="I160" s="18">
        <v>1585</v>
      </c>
      <c r="J160" s="18">
        <v>111850</v>
      </c>
      <c r="K160" s="18">
        <v>4964</v>
      </c>
      <c r="L160" s="18">
        <v>121961</v>
      </c>
      <c r="M160" s="65">
        <v>1064357</v>
      </c>
      <c r="N160" s="20">
        <f t="shared" si="22"/>
        <v>-30923</v>
      </c>
      <c r="O160" s="20">
        <f t="shared" si="23"/>
        <v>1606091</v>
      </c>
      <c r="P160" s="65">
        <v>14532</v>
      </c>
      <c r="Q160" s="20">
        <f t="shared" si="24"/>
        <v>94217</v>
      </c>
      <c r="R160" s="24">
        <v>1714840</v>
      </c>
      <c r="S160" s="25">
        <f t="shared" si="25"/>
        <v>5.4942152037507873E-2</v>
      </c>
      <c r="U160" s="2">
        <v>1987</v>
      </c>
      <c r="V160" s="2">
        <v>11</v>
      </c>
      <c r="W160" s="16">
        <f t="shared" si="20"/>
        <v>1038245</v>
      </c>
      <c r="X160" s="64">
        <v>921379</v>
      </c>
      <c r="Y160" s="64">
        <v>104661</v>
      </c>
      <c r="Z160" s="23">
        <v>2901</v>
      </c>
      <c r="AA160" s="23">
        <v>1954</v>
      </c>
      <c r="AB160" s="23">
        <v>7332</v>
      </c>
      <c r="AC160" s="23">
        <v>2</v>
      </c>
      <c r="AD160" s="23">
        <v>16</v>
      </c>
      <c r="AE160" s="20">
        <f t="shared" si="26"/>
        <v>18</v>
      </c>
      <c r="AF160" s="20">
        <f t="shared" si="21"/>
        <v>1038227</v>
      </c>
    </row>
    <row r="161" spans="1:32">
      <c r="A161" s="2">
        <v>1987</v>
      </c>
      <c r="B161" s="2">
        <v>12</v>
      </c>
      <c r="C161" s="16">
        <f t="shared" si="18"/>
        <v>1705319</v>
      </c>
      <c r="D161" s="17">
        <v>747664</v>
      </c>
      <c r="E161" s="17">
        <v>471369</v>
      </c>
      <c r="F161" s="18">
        <v>276380</v>
      </c>
      <c r="G161" s="18">
        <v>104516</v>
      </c>
      <c r="H161" s="19">
        <f t="shared" si="19"/>
        <v>171864</v>
      </c>
      <c r="I161" s="18">
        <v>1574</v>
      </c>
      <c r="J161" s="18">
        <v>108429</v>
      </c>
      <c r="K161" s="18">
        <v>99</v>
      </c>
      <c r="L161" s="18">
        <v>99804</v>
      </c>
      <c r="M161" s="65">
        <v>1155911</v>
      </c>
      <c r="N161" s="20">
        <f t="shared" si="22"/>
        <v>91554</v>
      </c>
      <c r="O161" s="20">
        <f t="shared" si="23"/>
        <v>1796873</v>
      </c>
      <c r="P161" s="65">
        <v>13938</v>
      </c>
      <c r="Q161" s="20">
        <f t="shared" si="24"/>
        <v>87284</v>
      </c>
      <c r="R161" s="24">
        <v>1898095</v>
      </c>
      <c r="S161" s="25">
        <f t="shared" si="25"/>
        <v>4.5985053435154723E-2</v>
      </c>
      <c r="U161" s="2">
        <v>1987</v>
      </c>
      <c r="V161" s="2">
        <v>12</v>
      </c>
      <c r="W161" s="16">
        <f t="shared" si="20"/>
        <v>1048631</v>
      </c>
      <c r="X161" s="64">
        <v>931574</v>
      </c>
      <c r="Y161" s="64">
        <v>104681</v>
      </c>
      <c r="Z161" s="23">
        <v>2951</v>
      </c>
      <c r="AA161" s="23">
        <v>1986</v>
      </c>
      <c r="AB161" s="23">
        <v>7421</v>
      </c>
      <c r="AC161" s="23">
        <v>2</v>
      </c>
      <c r="AD161" s="23">
        <v>16</v>
      </c>
      <c r="AE161" s="20">
        <f t="shared" si="26"/>
        <v>18</v>
      </c>
      <c r="AF161" s="20">
        <f t="shared" si="21"/>
        <v>1048613</v>
      </c>
    </row>
    <row r="162" spans="1:32">
      <c r="A162" s="2">
        <v>1988</v>
      </c>
      <c r="B162" s="2">
        <v>1</v>
      </c>
      <c r="C162" s="16">
        <f t="shared" si="18"/>
        <v>1884764</v>
      </c>
      <c r="D162" s="17">
        <v>901019</v>
      </c>
      <c r="E162" s="17">
        <v>476400</v>
      </c>
      <c r="F162" s="18">
        <v>292668</v>
      </c>
      <c r="G162" s="18">
        <v>115165</v>
      </c>
      <c r="H162" s="19">
        <f t="shared" si="19"/>
        <v>177503</v>
      </c>
      <c r="I162" s="18">
        <v>1549</v>
      </c>
      <c r="J162" s="18">
        <v>105578</v>
      </c>
      <c r="K162" s="18">
        <v>66</v>
      </c>
      <c r="L162" s="18">
        <v>107484</v>
      </c>
      <c r="M162" s="65">
        <v>1346125</v>
      </c>
      <c r="N162" s="20">
        <f t="shared" si="22"/>
        <v>190214</v>
      </c>
      <c r="O162" s="20">
        <f t="shared" si="23"/>
        <v>2074978</v>
      </c>
      <c r="P162" s="65">
        <v>16157</v>
      </c>
      <c r="Q162" s="20">
        <f t="shared" si="24"/>
        <v>130959</v>
      </c>
      <c r="R162" s="24">
        <v>2222094</v>
      </c>
      <c r="S162" s="25">
        <f t="shared" si="25"/>
        <v>5.893495054664654E-2</v>
      </c>
      <c r="U162" s="2">
        <v>1988</v>
      </c>
      <c r="V162" s="2">
        <v>1</v>
      </c>
      <c r="W162" s="16">
        <f t="shared" si="20"/>
        <v>1058763</v>
      </c>
      <c r="X162" s="64">
        <v>941768</v>
      </c>
      <c r="Y162" s="64">
        <v>104701</v>
      </c>
      <c r="Z162" s="23">
        <v>2909</v>
      </c>
      <c r="AA162" s="23">
        <v>1968</v>
      </c>
      <c r="AB162" s="23">
        <v>7402</v>
      </c>
      <c r="AC162" s="23">
        <v>1</v>
      </c>
      <c r="AD162" s="23">
        <v>14</v>
      </c>
      <c r="AE162" s="20">
        <f t="shared" si="26"/>
        <v>15</v>
      </c>
      <c r="AF162" s="20">
        <f t="shared" si="21"/>
        <v>1058748</v>
      </c>
    </row>
    <row r="163" spans="1:32">
      <c r="A163" s="2">
        <v>1988</v>
      </c>
      <c r="B163" s="2">
        <v>2</v>
      </c>
      <c r="C163" s="16">
        <f t="shared" si="18"/>
        <v>2006670</v>
      </c>
      <c r="D163" s="17">
        <v>1050774</v>
      </c>
      <c r="E163" s="17">
        <v>466217</v>
      </c>
      <c r="F163" s="18">
        <v>286878</v>
      </c>
      <c r="G163" s="18">
        <v>110079</v>
      </c>
      <c r="H163" s="19">
        <f t="shared" si="19"/>
        <v>176799</v>
      </c>
      <c r="I163" s="18">
        <v>1483</v>
      </c>
      <c r="J163" s="18">
        <v>107404</v>
      </c>
      <c r="K163" s="18">
        <v>3240</v>
      </c>
      <c r="L163" s="18">
        <v>90674</v>
      </c>
      <c r="M163" s="65">
        <v>1229927</v>
      </c>
      <c r="N163" s="20">
        <f t="shared" si="22"/>
        <v>-116198</v>
      </c>
      <c r="O163" s="20">
        <f t="shared" si="23"/>
        <v>1890472</v>
      </c>
      <c r="P163" s="65">
        <v>11126</v>
      </c>
      <c r="Q163" s="20">
        <f t="shared" si="24"/>
        <v>122919</v>
      </c>
      <c r="R163" s="24">
        <v>2024517</v>
      </c>
      <c r="S163" s="25">
        <f t="shared" si="25"/>
        <v>6.0715222445650002E-2</v>
      </c>
      <c r="U163" s="2">
        <v>1988</v>
      </c>
      <c r="V163" s="2">
        <v>2</v>
      </c>
      <c r="W163" s="16">
        <f t="shared" si="20"/>
        <v>1064603</v>
      </c>
      <c r="X163" s="64">
        <v>946922</v>
      </c>
      <c r="Y163" s="64">
        <v>105289</v>
      </c>
      <c r="Z163" s="23">
        <v>2916</v>
      </c>
      <c r="AA163" s="23">
        <v>1984</v>
      </c>
      <c r="AB163" s="23">
        <v>7476</v>
      </c>
      <c r="AC163" s="23">
        <v>2</v>
      </c>
      <c r="AD163" s="23">
        <v>14</v>
      </c>
      <c r="AE163" s="20">
        <f t="shared" si="26"/>
        <v>16</v>
      </c>
      <c r="AF163" s="20">
        <f t="shared" si="21"/>
        <v>1064587</v>
      </c>
    </row>
    <row r="164" spans="1:32">
      <c r="A164" s="2">
        <v>1988</v>
      </c>
      <c r="B164" s="2">
        <v>3</v>
      </c>
      <c r="C164" s="16">
        <f t="shared" si="18"/>
        <v>1833091</v>
      </c>
      <c r="D164" s="17">
        <v>878289</v>
      </c>
      <c r="E164" s="17">
        <v>449075</v>
      </c>
      <c r="F164" s="18">
        <v>294911</v>
      </c>
      <c r="G164" s="18">
        <v>118171</v>
      </c>
      <c r="H164" s="19">
        <f t="shared" si="19"/>
        <v>176740</v>
      </c>
      <c r="I164" s="18">
        <v>1587</v>
      </c>
      <c r="J164" s="18">
        <v>105524</v>
      </c>
      <c r="K164" s="18">
        <v>15276</v>
      </c>
      <c r="L164" s="18">
        <v>88429</v>
      </c>
      <c r="M164" s="65">
        <v>1186212</v>
      </c>
      <c r="N164" s="20">
        <f t="shared" si="22"/>
        <v>-43715</v>
      </c>
      <c r="O164" s="20">
        <f t="shared" si="23"/>
        <v>1789376</v>
      </c>
      <c r="P164" s="65">
        <v>12722</v>
      </c>
      <c r="Q164" s="20">
        <f t="shared" si="24"/>
        <v>119886</v>
      </c>
      <c r="R164" s="24">
        <v>1921984</v>
      </c>
      <c r="S164" s="25">
        <f t="shared" si="25"/>
        <v>6.2376169624721124E-2</v>
      </c>
      <c r="U164" s="2">
        <v>1988</v>
      </c>
      <c r="V164" s="2">
        <v>3</v>
      </c>
      <c r="W164" s="16">
        <f t="shared" si="20"/>
        <v>1067426</v>
      </c>
      <c r="X164" s="64">
        <v>949289</v>
      </c>
      <c r="Y164" s="64">
        <v>105665</v>
      </c>
      <c r="Z164" s="23">
        <v>2938</v>
      </c>
      <c r="AA164" s="23">
        <v>2007</v>
      </c>
      <c r="AB164" s="23">
        <v>7511</v>
      </c>
      <c r="AC164" s="23">
        <v>2</v>
      </c>
      <c r="AD164" s="23">
        <v>14</v>
      </c>
      <c r="AE164" s="20">
        <f t="shared" si="26"/>
        <v>16</v>
      </c>
      <c r="AF164" s="20">
        <f t="shared" si="21"/>
        <v>1067410</v>
      </c>
    </row>
    <row r="165" spans="1:32">
      <c r="A165" s="2">
        <v>1988</v>
      </c>
      <c r="B165" s="2">
        <v>4</v>
      </c>
      <c r="C165" s="16">
        <f t="shared" si="18"/>
        <v>1797227</v>
      </c>
      <c r="D165" s="17">
        <v>771723</v>
      </c>
      <c r="E165" s="17">
        <v>506540</v>
      </c>
      <c r="F165" s="18">
        <v>305159</v>
      </c>
      <c r="G165" s="18">
        <v>117563</v>
      </c>
      <c r="H165" s="19">
        <f t="shared" si="19"/>
        <v>187596</v>
      </c>
      <c r="I165" s="18">
        <v>1566</v>
      </c>
      <c r="J165" s="18">
        <v>114398</v>
      </c>
      <c r="K165" s="18">
        <v>8458</v>
      </c>
      <c r="L165" s="18">
        <v>89383</v>
      </c>
      <c r="M165" s="65">
        <v>1064121</v>
      </c>
      <c r="N165" s="20">
        <f t="shared" si="22"/>
        <v>-122091</v>
      </c>
      <c r="O165" s="20">
        <f t="shared" si="23"/>
        <v>1675136</v>
      </c>
      <c r="P165" s="65">
        <v>19094</v>
      </c>
      <c r="Q165" s="20">
        <f t="shared" si="24"/>
        <v>109952</v>
      </c>
      <c r="R165" s="24">
        <v>1804182</v>
      </c>
      <c r="S165" s="25">
        <f t="shared" si="25"/>
        <v>6.0942853880595192E-2</v>
      </c>
      <c r="U165" s="2">
        <v>1988</v>
      </c>
      <c r="V165" s="2">
        <v>4</v>
      </c>
      <c r="W165" s="16">
        <f t="shared" si="20"/>
        <v>1062162</v>
      </c>
      <c r="X165" s="64">
        <v>943760</v>
      </c>
      <c r="Y165" s="64">
        <v>105868</v>
      </c>
      <c r="Z165" s="23">
        <v>2931</v>
      </c>
      <c r="AA165" s="23">
        <v>2021</v>
      </c>
      <c r="AB165" s="23">
        <v>7566</v>
      </c>
      <c r="AC165" s="23">
        <v>2</v>
      </c>
      <c r="AD165" s="23">
        <v>14</v>
      </c>
      <c r="AE165" s="20">
        <f t="shared" si="26"/>
        <v>16</v>
      </c>
      <c r="AF165" s="20">
        <f t="shared" si="21"/>
        <v>1062146</v>
      </c>
    </row>
    <row r="166" spans="1:32">
      <c r="A166" s="2">
        <v>1988</v>
      </c>
      <c r="B166" s="2">
        <v>5</v>
      </c>
      <c r="C166" s="16">
        <f t="shared" si="18"/>
        <v>1695376</v>
      </c>
      <c r="D166" s="17">
        <v>677699</v>
      </c>
      <c r="E166" s="17">
        <v>507701</v>
      </c>
      <c r="F166" s="18">
        <v>299260</v>
      </c>
      <c r="G166" s="18">
        <v>107183</v>
      </c>
      <c r="H166" s="19">
        <f t="shared" si="19"/>
        <v>192077</v>
      </c>
      <c r="I166" s="18">
        <v>1563</v>
      </c>
      <c r="J166" s="18">
        <v>114759</v>
      </c>
      <c r="K166" s="18">
        <v>1728</v>
      </c>
      <c r="L166" s="18">
        <v>92666</v>
      </c>
      <c r="M166" s="65">
        <v>1250279</v>
      </c>
      <c r="N166" s="20">
        <f t="shared" si="22"/>
        <v>186158</v>
      </c>
      <c r="O166" s="20">
        <f t="shared" si="23"/>
        <v>1881534</v>
      </c>
      <c r="P166" s="65">
        <v>17824</v>
      </c>
      <c r="Q166" s="20">
        <f t="shared" si="24"/>
        <v>124873</v>
      </c>
      <c r="R166" s="24">
        <v>2024231</v>
      </c>
      <c r="S166" s="25">
        <f t="shared" si="25"/>
        <v>6.1689105640611176E-2</v>
      </c>
      <c r="U166" s="2">
        <v>1988</v>
      </c>
      <c r="V166" s="2">
        <v>5</v>
      </c>
      <c r="W166" s="16">
        <f t="shared" si="20"/>
        <v>1049426</v>
      </c>
      <c r="X166" s="64">
        <v>930610</v>
      </c>
      <c r="Y166" s="64">
        <v>106211</v>
      </c>
      <c r="Z166" s="23">
        <v>2949</v>
      </c>
      <c r="AA166" s="23">
        <v>2037</v>
      </c>
      <c r="AB166" s="23">
        <v>7603</v>
      </c>
      <c r="AC166" s="23">
        <v>2</v>
      </c>
      <c r="AD166" s="23">
        <v>14</v>
      </c>
      <c r="AE166" s="20">
        <f t="shared" si="26"/>
        <v>16</v>
      </c>
      <c r="AF166" s="20">
        <f t="shared" si="21"/>
        <v>1049410</v>
      </c>
    </row>
    <row r="167" spans="1:32">
      <c r="A167" s="2">
        <v>1988</v>
      </c>
      <c r="B167" s="2">
        <v>6</v>
      </c>
      <c r="C167" s="16">
        <f t="shared" si="18"/>
        <v>1971524</v>
      </c>
      <c r="D167" s="17">
        <v>862219</v>
      </c>
      <c r="E167" s="17">
        <v>568824</v>
      </c>
      <c r="F167" s="18">
        <v>311412</v>
      </c>
      <c r="G167" s="18">
        <v>109934</v>
      </c>
      <c r="H167" s="19">
        <f t="shared" si="19"/>
        <v>201478</v>
      </c>
      <c r="I167" s="18">
        <v>1548</v>
      </c>
      <c r="J167" s="18">
        <v>124059</v>
      </c>
      <c r="K167" s="18">
        <v>129</v>
      </c>
      <c r="L167" s="18">
        <v>103333</v>
      </c>
      <c r="M167" s="65">
        <v>1483906</v>
      </c>
      <c r="N167" s="20">
        <f t="shared" si="22"/>
        <v>233627</v>
      </c>
      <c r="O167" s="20">
        <f t="shared" si="23"/>
        <v>2205151</v>
      </c>
      <c r="P167" s="65">
        <v>13509</v>
      </c>
      <c r="Q167" s="20">
        <f t="shared" si="24"/>
        <v>149014</v>
      </c>
      <c r="R167" s="24">
        <v>2367674</v>
      </c>
      <c r="S167" s="25">
        <f t="shared" si="25"/>
        <v>6.2936873910850899E-2</v>
      </c>
      <c r="U167" s="2">
        <v>1988</v>
      </c>
      <c r="V167" s="2">
        <v>6</v>
      </c>
      <c r="W167" s="16">
        <f t="shared" si="20"/>
        <v>1046740</v>
      </c>
      <c r="X167" s="64">
        <v>927520</v>
      </c>
      <c r="Y167" s="64">
        <v>106616</v>
      </c>
      <c r="Z167" s="23">
        <v>2935</v>
      </c>
      <c r="AA167" s="23">
        <v>2036</v>
      </c>
      <c r="AB167" s="23">
        <v>7616</v>
      </c>
      <c r="AC167" s="23">
        <v>2</v>
      </c>
      <c r="AD167" s="23">
        <v>15</v>
      </c>
      <c r="AE167" s="20">
        <f t="shared" si="26"/>
        <v>17</v>
      </c>
      <c r="AF167" s="20">
        <f t="shared" si="21"/>
        <v>1046723</v>
      </c>
    </row>
    <row r="168" spans="1:32">
      <c r="A168" s="2">
        <v>1988</v>
      </c>
      <c r="B168" s="2">
        <v>7</v>
      </c>
      <c r="C168" s="16">
        <f t="shared" si="18"/>
        <v>2265454</v>
      </c>
      <c r="D168" s="17">
        <v>1079809</v>
      </c>
      <c r="E168" s="17">
        <v>615848</v>
      </c>
      <c r="F168" s="18">
        <v>317191</v>
      </c>
      <c r="G168" s="18">
        <v>115105</v>
      </c>
      <c r="H168" s="19">
        <f t="shared" si="19"/>
        <v>202086</v>
      </c>
      <c r="I168" s="18">
        <v>1599</v>
      </c>
      <c r="J168" s="18">
        <v>124275</v>
      </c>
      <c r="K168" s="18">
        <v>651</v>
      </c>
      <c r="L168" s="18">
        <v>126081</v>
      </c>
      <c r="M168" s="65">
        <v>1549977</v>
      </c>
      <c r="N168" s="20">
        <f t="shared" si="22"/>
        <v>66071</v>
      </c>
      <c r="O168" s="20">
        <f t="shared" si="23"/>
        <v>2331525</v>
      </c>
      <c r="P168" s="65">
        <v>18333</v>
      </c>
      <c r="Q168" s="20">
        <f t="shared" si="24"/>
        <v>160694</v>
      </c>
      <c r="R168" s="24">
        <v>2510552</v>
      </c>
      <c r="S168" s="25">
        <f t="shared" si="25"/>
        <v>6.4007437408187526E-2</v>
      </c>
      <c r="U168" s="2">
        <v>1988</v>
      </c>
      <c r="V168" s="2">
        <v>7</v>
      </c>
      <c r="W168" s="16">
        <f t="shared" si="20"/>
        <v>1048166</v>
      </c>
      <c r="X168" s="64">
        <v>928621</v>
      </c>
      <c r="Y168" s="64">
        <v>106931</v>
      </c>
      <c r="Z168" s="23">
        <v>2914</v>
      </c>
      <c r="AA168" s="23">
        <v>2056</v>
      </c>
      <c r="AB168" s="23">
        <v>7627</v>
      </c>
      <c r="AC168" s="23">
        <v>2</v>
      </c>
      <c r="AD168" s="23">
        <v>15</v>
      </c>
      <c r="AE168" s="20">
        <f t="shared" si="26"/>
        <v>17</v>
      </c>
      <c r="AF168" s="20">
        <f t="shared" si="21"/>
        <v>1048149</v>
      </c>
    </row>
    <row r="169" spans="1:32">
      <c r="A169" s="2">
        <v>1988</v>
      </c>
      <c r="B169" s="2">
        <v>8</v>
      </c>
      <c r="C169" s="16">
        <f t="shared" si="18"/>
        <v>2312748</v>
      </c>
      <c r="D169" s="17">
        <v>1119837</v>
      </c>
      <c r="E169" s="17">
        <v>611346</v>
      </c>
      <c r="F169" s="18">
        <v>305114</v>
      </c>
      <c r="G169" s="18">
        <v>113475</v>
      </c>
      <c r="H169" s="19">
        <f t="shared" si="19"/>
        <v>191639</v>
      </c>
      <c r="I169" s="18">
        <v>1563</v>
      </c>
      <c r="J169" s="18">
        <v>120119</v>
      </c>
      <c r="K169" s="18">
        <v>7025</v>
      </c>
      <c r="L169" s="18">
        <v>147744</v>
      </c>
      <c r="M169" s="65">
        <v>1703624</v>
      </c>
      <c r="N169" s="20">
        <f t="shared" si="22"/>
        <v>153647</v>
      </c>
      <c r="O169" s="20">
        <f t="shared" si="23"/>
        <v>2466395</v>
      </c>
      <c r="P169" s="65">
        <v>12881</v>
      </c>
      <c r="Q169" s="20">
        <f t="shared" si="24"/>
        <v>143101</v>
      </c>
      <c r="R169" s="24">
        <v>2622377</v>
      </c>
      <c r="S169" s="25">
        <f t="shared" si="25"/>
        <v>5.4569194284422112E-2</v>
      </c>
      <c r="U169" s="2">
        <v>1988</v>
      </c>
      <c r="V169" s="2">
        <v>8</v>
      </c>
      <c r="W169" s="16">
        <f t="shared" si="20"/>
        <v>1051373</v>
      </c>
      <c r="X169" s="64">
        <v>931203</v>
      </c>
      <c r="Y169" s="64">
        <v>107491</v>
      </c>
      <c r="Z169" s="23">
        <v>2929</v>
      </c>
      <c r="AA169" s="23">
        <v>2069</v>
      </c>
      <c r="AB169" s="23">
        <v>7664</v>
      </c>
      <c r="AC169" s="23">
        <v>2</v>
      </c>
      <c r="AD169" s="23">
        <v>15</v>
      </c>
      <c r="AE169" s="20">
        <f t="shared" si="26"/>
        <v>17</v>
      </c>
      <c r="AF169" s="20">
        <f t="shared" si="21"/>
        <v>1051356</v>
      </c>
    </row>
    <row r="170" spans="1:32">
      <c r="A170" s="2">
        <v>1988</v>
      </c>
      <c r="B170" s="2">
        <v>9</v>
      </c>
      <c r="C170" s="16">
        <f t="shared" si="18"/>
        <v>2492478</v>
      </c>
      <c r="D170" s="17">
        <v>1211713</v>
      </c>
      <c r="E170" s="17">
        <v>658613</v>
      </c>
      <c r="F170" s="18">
        <v>321431</v>
      </c>
      <c r="G170" s="18">
        <v>116818</v>
      </c>
      <c r="H170" s="19">
        <f t="shared" si="19"/>
        <v>204613</v>
      </c>
      <c r="I170" s="18">
        <v>1548</v>
      </c>
      <c r="J170" s="18">
        <v>146623</v>
      </c>
      <c r="K170" s="18">
        <v>15241</v>
      </c>
      <c r="L170" s="18">
        <v>137309</v>
      </c>
      <c r="M170" s="65">
        <v>1546116</v>
      </c>
      <c r="N170" s="20">
        <f t="shared" si="22"/>
        <v>-157508</v>
      </c>
      <c r="O170" s="20">
        <f t="shared" si="23"/>
        <v>2334970</v>
      </c>
      <c r="P170" s="65">
        <v>12189</v>
      </c>
      <c r="Q170" s="20">
        <f t="shared" si="24"/>
        <v>153743</v>
      </c>
      <c r="R170" s="24">
        <v>2500902</v>
      </c>
      <c r="S170" s="25">
        <f t="shared" si="25"/>
        <v>6.1475019812851521E-2</v>
      </c>
      <c r="U170" s="2">
        <v>1988</v>
      </c>
      <c r="V170" s="2">
        <v>9</v>
      </c>
      <c r="W170" s="16">
        <f t="shared" si="20"/>
        <v>1054980</v>
      </c>
      <c r="X170" s="64">
        <v>934277</v>
      </c>
      <c r="Y170" s="64">
        <v>107933</v>
      </c>
      <c r="Z170" s="23">
        <v>2961</v>
      </c>
      <c r="AA170" s="23">
        <v>2067</v>
      </c>
      <c r="AB170" s="23">
        <v>7725</v>
      </c>
      <c r="AC170" s="23">
        <v>2</v>
      </c>
      <c r="AD170" s="23">
        <v>15</v>
      </c>
      <c r="AE170" s="20">
        <f t="shared" si="26"/>
        <v>17</v>
      </c>
      <c r="AF170" s="20">
        <f t="shared" si="21"/>
        <v>1054963</v>
      </c>
    </row>
    <row r="171" spans="1:32">
      <c r="A171" s="2">
        <v>1988</v>
      </c>
      <c r="B171" s="2">
        <v>10</v>
      </c>
      <c r="C171" s="16">
        <f t="shared" si="18"/>
        <v>2242075</v>
      </c>
      <c r="D171" s="17">
        <v>1013642</v>
      </c>
      <c r="E171" s="17">
        <v>584098</v>
      </c>
      <c r="F171" s="18">
        <v>332640</v>
      </c>
      <c r="G171" s="18">
        <v>125687</v>
      </c>
      <c r="H171" s="19">
        <f t="shared" si="19"/>
        <v>206953</v>
      </c>
      <c r="I171" s="18">
        <v>1542</v>
      </c>
      <c r="J171" s="18">
        <v>143026</v>
      </c>
      <c r="K171" s="18">
        <v>20701</v>
      </c>
      <c r="L171" s="18">
        <v>146426</v>
      </c>
      <c r="M171" s="65">
        <v>1183153</v>
      </c>
      <c r="N171" s="20">
        <f t="shared" si="22"/>
        <v>-362963</v>
      </c>
      <c r="O171" s="20">
        <f t="shared" si="23"/>
        <v>1879112</v>
      </c>
      <c r="P171" s="65">
        <v>18964</v>
      </c>
      <c r="Q171" s="20">
        <f t="shared" si="24"/>
        <v>63890</v>
      </c>
      <c r="R171" s="24">
        <v>1961966</v>
      </c>
      <c r="S171" s="25">
        <f t="shared" si="25"/>
        <v>3.2564274814140509E-2</v>
      </c>
      <c r="U171" s="2">
        <v>1988</v>
      </c>
      <c r="V171" s="2">
        <v>10</v>
      </c>
      <c r="W171" s="16">
        <f t="shared" si="20"/>
        <v>1062840</v>
      </c>
      <c r="X171" s="64">
        <v>941796</v>
      </c>
      <c r="Y171" s="64">
        <v>108210</v>
      </c>
      <c r="Z171" s="23">
        <v>2966</v>
      </c>
      <c r="AA171" s="23">
        <v>2074</v>
      </c>
      <c r="AB171" s="23">
        <v>7777</v>
      </c>
      <c r="AC171" s="23">
        <v>2</v>
      </c>
      <c r="AD171" s="23">
        <v>15</v>
      </c>
      <c r="AE171" s="20">
        <f t="shared" si="26"/>
        <v>17</v>
      </c>
      <c r="AF171" s="20">
        <f t="shared" si="21"/>
        <v>1062823</v>
      </c>
    </row>
    <row r="172" spans="1:32">
      <c r="A172" s="2">
        <v>1988</v>
      </c>
      <c r="B172" s="2">
        <v>11</v>
      </c>
      <c r="C172" s="16">
        <f t="shared" si="18"/>
        <v>1756002</v>
      </c>
      <c r="D172" s="17">
        <v>679966</v>
      </c>
      <c r="E172" s="17">
        <v>518994</v>
      </c>
      <c r="F172" s="18">
        <v>305827</v>
      </c>
      <c r="G172" s="18">
        <v>119567</v>
      </c>
      <c r="H172" s="19">
        <f t="shared" si="19"/>
        <v>186260</v>
      </c>
      <c r="I172" s="18">
        <v>1538</v>
      </c>
      <c r="J172" s="18">
        <v>119598</v>
      </c>
      <c r="K172" s="18">
        <v>16554</v>
      </c>
      <c r="L172" s="18">
        <v>113525</v>
      </c>
      <c r="M172" s="65">
        <v>1178966</v>
      </c>
      <c r="N172" s="20">
        <f t="shared" si="22"/>
        <v>-4187</v>
      </c>
      <c r="O172" s="20">
        <f t="shared" si="23"/>
        <v>1751815</v>
      </c>
      <c r="P172" s="65">
        <v>11027</v>
      </c>
      <c r="Q172" s="20">
        <f t="shared" si="24"/>
        <v>83363</v>
      </c>
      <c r="R172" s="24">
        <v>1846205</v>
      </c>
      <c r="S172" s="25">
        <f t="shared" si="25"/>
        <v>4.515370719936302E-2</v>
      </c>
      <c r="U172" s="2">
        <v>1988</v>
      </c>
      <c r="V172" s="2">
        <v>11</v>
      </c>
      <c r="W172" s="16">
        <f t="shared" si="20"/>
        <v>1076605</v>
      </c>
      <c r="X172" s="64">
        <v>954897</v>
      </c>
      <c r="Y172" s="64">
        <v>108816</v>
      </c>
      <c r="Z172" s="23">
        <v>2971</v>
      </c>
      <c r="AA172" s="23">
        <v>2074</v>
      </c>
      <c r="AB172" s="23">
        <v>7831</v>
      </c>
      <c r="AC172" s="23">
        <v>2</v>
      </c>
      <c r="AD172" s="23">
        <v>14</v>
      </c>
      <c r="AE172" s="20">
        <f t="shared" si="26"/>
        <v>16</v>
      </c>
      <c r="AF172" s="20">
        <f t="shared" si="21"/>
        <v>1076589</v>
      </c>
    </row>
    <row r="173" spans="1:32">
      <c r="A173" s="2">
        <v>1988</v>
      </c>
      <c r="B173" s="2">
        <v>12</v>
      </c>
      <c r="C173" s="16">
        <f t="shared" si="18"/>
        <v>1866643</v>
      </c>
      <c r="D173" s="17">
        <v>818901</v>
      </c>
      <c r="E173" s="17">
        <v>515735</v>
      </c>
      <c r="F173" s="18">
        <v>308127</v>
      </c>
      <c r="G173" s="18">
        <v>122203</v>
      </c>
      <c r="H173" s="19">
        <f t="shared" si="19"/>
        <v>185924</v>
      </c>
      <c r="I173" s="18">
        <v>1553</v>
      </c>
      <c r="J173" s="18">
        <v>122058</v>
      </c>
      <c r="K173" s="18">
        <v>538</v>
      </c>
      <c r="L173" s="18">
        <v>99731</v>
      </c>
      <c r="M173" s="65">
        <v>1195898</v>
      </c>
      <c r="N173" s="20">
        <f t="shared" si="22"/>
        <v>16932</v>
      </c>
      <c r="O173" s="20">
        <f t="shared" si="23"/>
        <v>1883575</v>
      </c>
      <c r="P173" s="65">
        <v>11402</v>
      </c>
      <c r="Q173" s="20">
        <f t="shared" si="24"/>
        <v>146294</v>
      </c>
      <c r="R173" s="24">
        <v>2041271</v>
      </c>
      <c r="S173" s="25">
        <f t="shared" si="25"/>
        <v>7.1668093065545932E-2</v>
      </c>
      <c r="U173" s="2">
        <v>1988</v>
      </c>
      <c r="V173" s="2">
        <v>12</v>
      </c>
      <c r="W173" s="16">
        <f t="shared" si="20"/>
        <v>1088560</v>
      </c>
      <c r="X173" s="64">
        <v>966602</v>
      </c>
      <c r="Y173" s="64">
        <v>109054</v>
      </c>
      <c r="Z173" s="23">
        <v>2989</v>
      </c>
      <c r="AA173" s="23">
        <v>2068</v>
      </c>
      <c r="AB173" s="23">
        <v>7831</v>
      </c>
      <c r="AC173" s="23">
        <v>2</v>
      </c>
      <c r="AD173" s="23">
        <v>14</v>
      </c>
      <c r="AE173" s="20">
        <f t="shared" si="26"/>
        <v>16</v>
      </c>
      <c r="AF173" s="20">
        <f t="shared" si="21"/>
        <v>1088544</v>
      </c>
    </row>
    <row r="174" spans="1:32">
      <c r="A174" s="2">
        <v>1989</v>
      </c>
      <c r="B174" s="2">
        <v>1</v>
      </c>
      <c r="C174" s="16">
        <f t="shared" si="18"/>
        <v>1851809</v>
      </c>
      <c r="D174" s="17">
        <v>859123</v>
      </c>
      <c r="E174" s="17">
        <v>494062</v>
      </c>
      <c r="F174" s="18">
        <v>300099</v>
      </c>
      <c r="G174" s="18">
        <v>119362</v>
      </c>
      <c r="H174" s="19">
        <f t="shared" si="19"/>
        <v>180737</v>
      </c>
      <c r="I174" s="18">
        <v>1570</v>
      </c>
      <c r="J174" s="18">
        <v>107100</v>
      </c>
      <c r="K174" s="18">
        <v>189</v>
      </c>
      <c r="L174" s="18">
        <v>89666</v>
      </c>
      <c r="M174" s="65">
        <v>1155522</v>
      </c>
      <c r="N174" s="20">
        <f t="shared" ref="N174:N205" si="27">(M174-M173)</f>
        <v>-40376</v>
      </c>
      <c r="O174" s="20">
        <f t="shared" ref="O174:O205" si="28">(C174+N174)</f>
        <v>1811433</v>
      </c>
      <c r="P174" s="65">
        <v>13100</v>
      </c>
      <c r="Q174" s="20">
        <f t="shared" ref="Q174:Q205" si="29">(R174-O174-P174)</f>
        <v>92625</v>
      </c>
      <c r="R174" s="24">
        <v>1917158</v>
      </c>
      <c r="S174" s="25">
        <f t="shared" ref="S174:S205" si="30">(Q174/R174)</f>
        <v>4.8313701844083796E-2</v>
      </c>
      <c r="U174" s="2">
        <v>1989</v>
      </c>
      <c r="V174" s="2">
        <v>1</v>
      </c>
      <c r="W174" s="16">
        <f t="shared" si="20"/>
        <v>1098051</v>
      </c>
      <c r="X174" s="64">
        <v>975763</v>
      </c>
      <c r="Y174" s="64">
        <v>109333</v>
      </c>
      <c r="Z174" s="23">
        <v>2977</v>
      </c>
      <c r="AA174" s="23">
        <v>2086</v>
      </c>
      <c r="AB174" s="23">
        <v>7876</v>
      </c>
      <c r="AC174" s="23">
        <v>2</v>
      </c>
      <c r="AD174" s="23">
        <v>14</v>
      </c>
      <c r="AE174" s="20">
        <f t="shared" si="26"/>
        <v>16</v>
      </c>
      <c r="AF174" s="20">
        <f t="shared" si="21"/>
        <v>1098035</v>
      </c>
    </row>
    <row r="175" spans="1:32">
      <c r="A175" s="2">
        <v>1989</v>
      </c>
      <c r="B175" s="2">
        <v>2</v>
      </c>
      <c r="C175" s="16">
        <f t="shared" si="18"/>
        <v>1755593</v>
      </c>
      <c r="D175" s="17">
        <v>743716</v>
      </c>
      <c r="E175" s="17">
        <v>488084</v>
      </c>
      <c r="F175" s="18">
        <v>307987</v>
      </c>
      <c r="G175" s="18">
        <v>120396</v>
      </c>
      <c r="H175" s="19">
        <f t="shared" si="19"/>
        <v>187591</v>
      </c>
      <c r="I175" s="18">
        <v>1579</v>
      </c>
      <c r="J175" s="18">
        <v>114956</v>
      </c>
      <c r="K175" s="18">
        <v>11763</v>
      </c>
      <c r="L175" s="18">
        <v>87508</v>
      </c>
      <c r="M175" s="65">
        <v>1241218</v>
      </c>
      <c r="N175" s="20">
        <f t="shared" si="27"/>
        <v>85696</v>
      </c>
      <c r="O175" s="20">
        <f t="shared" si="28"/>
        <v>1841289</v>
      </c>
      <c r="P175" s="65">
        <v>8993</v>
      </c>
      <c r="Q175" s="20">
        <f t="shared" si="29"/>
        <v>99298</v>
      </c>
      <c r="R175" s="24">
        <v>1949580</v>
      </c>
      <c r="S175" s="25">
        <f t="shared" si="30"/>
        <v>5.0933021471291251E-2</v>
      </c>
      <c r="U175" s="2">
        <v>1989</v>
      </c>
      <c r="V175" s="2">
        <v>2</v>
      </c>
      <c r="W175" s="16">
        <f t="shared" si="20"/>
        <v>1102516</v>
      </c>
      <c r="X175" s="64">
        <v>980025</v>
      </c>
      <c r="Y175" s="64">
        <v>109488</v>
      </c>
      <c r="Z175" s="23">
        <v>2983</v>
      </c>
      <c r="AA175" s="23">
        <v>2097</v>
      </c>
      <c r="AB175" s="23">
        <v>7907</v>
      </c>
      <c r="AC175" s="23">
        <v>2</v>
      </c>
      <c r="AD175" s="23">
        <v>14</v>
      </c>
      <c r="AE175" s="20">
        <f t="shared" si="26"/>
        <v>16</v>
      </c>
      <c r="AF175" s="20">
        <f t="shared" si="21"/>
        <v>1102500</v>
      </c>
    </row>
    <row r="176" spans="1:32">
      <c r="A176" s="2">
        <v>1989</v>
      </c>
      <c r="B176" s="2">
        <v>3</v>
      </c>
      <c r="C176" s="16">
        <f t="shared" si="18"/>
        <v>1916244</v>
      </c>
      <c r="D176" s="17">
        <v>902173</v>
      </c>
      <c r="E176" s="17">
        <v>507168</v>
      </c>
      <c r="F176" s="18">
        <v>294577</v>
      </c>
      <c r="G176" s="18">
        <v>111834</v>
      </c>
      <c r="H176" s="19">
        <f t="shared" si="19"/>
        <v>182743</v>
      </c>
      <c r="I176" s="18">
        <v>1586</v>
      </c>
      <c r="J176" s="18">
        <v>117429</v>
      </c>
      <c r="K176" s="18">
        <v>1141</v>
      </c>
      <c r="L176" s="18">
        <v>92170</v>
      </c>
      <c r="M176" s="65">
        <v>1255844</v>
      </c>
      <c r="N176" s="20">
        <f t="shared" si="27"/>
        <v>14626</v>
      </c>
      <c r="O176" s="20">
        <f t="shared" si="28"/>
        <v>1930870</v>
      </c>
      <c r="P176" s="65">
        <v>15310</v>
      </c>
      <c r="Q176" s="20">
        <f t="shared" si="29"/>
        <v>118318</v>
      </c>
      <c r="R176" s="24">
        <v>2064498</v>
      </c>
      <c r="S176" s="25">
        <f t="shared" si="30"/>
        <v>5.7310784510326479E-2</v>
      </c>
      <c r="U176" s="2">
        <v>1989</v>
      </c>
      <c r="V176" s="2">
        <v>3</v>
      </c>
      <c r="W176" s="16">
        <f t="shared" si="20"/>
        <v>1106190</v>
      </c>
      <c r="X176" s="64">
        <v>983161</v>
      </c>
      <c r="Y176" s="64">
        <v>109950</v>
      </c>
      <c r="Z176" s="23">
        <v>2990</v>
      </c>
      <c r="AA176" s="23">
        <v>2106</v>
      </c>
      <c r="AB176" s="23">
        <v>7967</v>
      </c>
      <c r="AC176" s="23">
        <v>2</v>
      </c>
      <c r="AD176" s="23">
        <v>14</v>
      </c>
      <c r="AE176" s="20">
        <f t="shared" si="26"/>
        <v>16</v>
      </c>
      <c r="AF176" s="20">
        <f t="shared" si="21"/>
        <v>1106174</v>
      </c>
    </row>
    <row r="177" spans="1:32">
      <c r="A177" s="2">
        <v>1989</v>
      </c>
      <c r="B177" s="2">
        <v>4</v>
      </c>
      <c r="C177" s="16">
        <f t="shared" si="18"/>
        <v>1984082</v>
      </c>
      <c r="D177" s="17">
        <v>822835</v>
      </c>
      <c r="E177" s="17">
        <v>572925</v>
      </c>
      <c r="F177" s="18">
        <v>334170</v>
      </c>
      <c r="G177" s="18">
        <v>127370</v>
      </c>
      <c r="H177" s="19">
        <f t="shared" si="19"/>
        <v>206800</v>
      </c>
      <c r="I177" s="18">
        <v>1626</v>
      </c>
      <c r="J177" s="18">
        <v>129390</v>
      </c>
      <c r="K177" s="18">
        <v>15804</v>
      </c>
      <c r="L177" s="18">
        <v>107332</v>
      </c>
      <c r="M177" s="65">
        <v>1103605</v>
      </c>
      <c r="N177" s="20">
        <f t="shared" si="27"/>
        <v>-152239</v>
      </c>
      <c r="O177" s="20">
        <f t="shared" si="28"/>
        <v>1831843</v>
      </c>
      <c r="P177" s="65">
        <v>14187</v>
      </c>
      <c r="Q177" s="20">
        <f t="shared" si="29"/>
        <v>108775</v>
      </c>
      <c r="R177" s="24">
        <v>1954805</v>
      </c>
      <c r="S177" s="25">
        <f t="shared" si="30"/>
        <v>5.5644936451461909E-2</v>
      </c>
      <c r="U177" s="2">
        <v>1989</v>
      </c>
      <c r="V177" s="2">
        <v>4</v>
      </c>
      <c r="W177" s="16">
        <f t="shared" si="20"/>
        <v>1104423</v>
      </c>
      <c r="X177" s="64">
        <v>980861</v>
      </c>
      <c r="Y177" s="64">
        <v>110432</v>
      </c>
      <c r="Z177" s="23">
        <v>2997</v>
      </c>
      <c r="AA177" s="23">
        <v>2123</v>
      </c>
      <c r="AB177" s="23">
        <v>7994</v>
      </c>
      <c r="AC177" s="23">
        <v>2</v>
      </c>
      <c r="AD177" s="23">
        <v>14</v>
      </c>
      <c r="AE177" s="20">
        <f t="shared" si="26"/>
        <v>16</v>
      </c>
      <c r="AF177" s="20">
        <f t="shared" si="21"/>
        <v>1104407</v>
      </c>
    </row>
    <row r="178" spans="1:32">
      <c r="A178" s="2">
        <v>1989</v>
      </c>
      <c r="B178" s="2">
        <v>5</v>
      </c>
      <c r="C178" s="16">
        <f t="shared" si="18"/>
        <v>1851343</v>
      </c>
      <c r="D178" s="17">
        <v>767581</v>
      </c>
      <c r="E178" s="17">
        <v>550076</v>
      </c>
      <c r="F178" s="18">
        <v>306974</v>
      </c>
      <c r="G178" s="18">
        <v>107069</v>
      </c>
      <c r="H178" s="19">
        <f t="shared" si="19"/>
        <v>199905</v>
      </c>
      <c r="I178" s="18">
        <v>1599</v>
      </c>
      <c r="J178" s="18">
        <v>125446</v>
      </c>
      <c r="K178" s="18">
        <v>3710</v>
      </c>
      <c r="L178" s="18">
        <v>95957</v>
      </c>
      <c r="M178" s="65">
        <v>1472830</v>
      </c>
      <c r="N178" s="20">
        <f t="shared" si="27"/>
        <v>369225</v>
      </c>
      <c r="O178" s="20">
        <f t="shared" si="28"/>
        <v>2220568</v>
      </c>
      <c r="P178" s="65">
        <v>12994</v>
      </c>
      <c r="Q178" s="20">
        <f t="shared" si="29"/>
        <v>115161</v>
      </c>
      <c r="R178" s="24">
        <v>2348723</v>
      </c>
      <c r="S178" s="25">
        <f t="shared" si="30"/>
        <v>4.9031324681539715E-2</v>
      </c>
      <c r="U178" s="2">
        <v>1989</v>
      </c>
      <c r="V178" s="2">
        <v>5</v>
      </c>
      <c r="W178" s="16">
        <f t="shared" si="20"/>
        <v>1091762</v>
      </c>
      <c r="X178" s="64">
        <v>967873</v>
      </c>
      <c r="Y178" s="64">
        <v>110709</v>
      </c>
      <c r="Z178" s="23">
        <v>2993</v>
      </c>
      <c r="AA178" s="23">
        <v>2131</v>
      </c>
      <c r="AB178" s="23">
        <v>8040</v>
      </c>
      <c r="AC178" s="23">
        <v>2</v>
      </c>
      <c r="AD178" s="23">
        <v>14</v>
      </c>
      <c r="AE178" s="20">
        <f t="shared" si="26"/>
        <v>16</v>
      </c>
      <c r="AF178" s="20">
        <f t="shared" si="21"/>
        <v>1091746</v>
      </c>
    </row>
    <row r="179" spans="1:32">
      <c r="A179" s="2">
        <v>1989</v>
      </c>
      <c r="B179" s="2">
        <v>6</v>
      </c>
      <c r="C179" s="16">
        <f t="shared" si="18"/>
        <v>2340816</v>
      </c>
      <c r="D179" s="17">
        <v>1092649</v>
      </c>
      <c r="E179" s="17">
        <v>639250</v>
      </c>
      <c r="F179" s="18">
        <v>336529</v>
      </c>
      <c r="G179" s="18">
        <v>121182</v>
      </c>
      <c r="H179" s="19">
        <f t="shared" si="19"/>
        <v>215347</v>
      </c>
      <c r="I179" s="18">
        <v>1600</v>
      </c>
      <c r="J179" s="18">
        <v>140433</v>
      </c>
      <c r="K179" s="18">
        <v>52</v>
      </c>
      <c r="L179" s="18">
        <v>130303</v>
      </c>
      <c r="M179" s="65">
        <v>1555295</v>
      </c>
      <c r="N179" s="20">
        <f t="shared" si="27"/>
        <v>82465</v>
      </c>
      <c r="O179" s="20">
        <f t="shared" si="28"/>
        <v>2423281</v>
      </c>
      <c r="P179" s="65">
        <v>23816</v>
      </c>
      <c r="Q179" s="20">
        <f t="shared" si="29"/>
        <v>164006</v>
      </c>
      <c r="R179" s="24">
        <v>2611103</v>
      </c>
      <c r="S179" s="25">
        <f t="shared" si="30"/>
        <v>6.2811003625670839E-2</v>
      </c>
      <c r="U179" s="2">
        <v>1989</v>
      </c>
      <c r="V179" s="2">
        <v>6</v>
      </c>
      <c r="W179" s="16">
        <f t="shared" si="20"/>
        <v>1088691</v>
      </c>
      <c r="X179" s="64">
        <v>964424</v>
      </c>
      <c r="Y179" s="64">
        <v>111053</v>
      </c>
      <c r="Z179" s="23">
        <v>3006</v>
      </c>
      <c r="AA179" s="23">
        <v>2144</v>
      </c>
      <c r="AB179" s="23">
        <v>8048</v>
      </c>
      <c r="AC179" s="23">
        <v>2</v>
      </c>
      <c r="AD179" s="23">
        <v>14</v>
      </c>
      <c r="AE179" s="20">
        <f t="shared" si="26"/>
        <v>16</v>
      </c>
      <c r="AF179" s="20">
        <f t="shared" si="21"/>
        <v>1088675</v>
      </c>
    </row>
    <row r="180" spans="1:32">
      <c r="A180" s="2">
        <v>1989</v>
      </c>
      <c r="B180" s="2">
        <v>7</v>
      </c>
      <c r="C180" s="16">
        <f t="shared" si="18"/>
        <v>2493455</v>
      </c>
      <c r="D180" s="17">
        <v>1223772</v>
      </c>
      <c r="E180" s="17">
        <v>660155</v>
      </c>
      <c r="F180" s="18">
        <v>327885</v>
      </c>
      <c r="G180" s="18">
        <v>115073</v>
      </c>
      <c r="H180" s="19">
        <f t="shared" si="19"/>
        <v>212812</v>
      </c>
      <c r="I180" s="18">
        <v>1605</v>
      </c>
      <c r="J180" s="18">
        <v>134488</v>
      </c>
      <c r="K180" s="18">
        <v>9943</v>
      </c>
      <c r="L180" s="18">
        <v>135607</v>
      </c>
      <c r="M180" s="65">
        <v>1692438</v>
      </c>
      <c r="N180" s="20">
        <f t="shared" si="27"/>
        <v>137143</v>
      </c>
      <c r="O180" s="20">
        <f t="shared" si="28"/>
        <v>2630598</v>
      </c>
      <c r="P180" s="65">
        <v>16329</v>
      </c>
      <c r="Q180" s="20">
        <f t="shared" si="29"/>
        <v>156383</v>
      </c>
      <c r="R180" s="24">
        <v>2803310</v>
      </c>
      <c r="S180" s="25">
        <f t="shared" si="30"/>
        <v>5.5785125440996536E-2</v>
      </c>
      <c r="U180" s="2">
        <v>1989</v>
      </c>
      <c r="V180" s="2">
        <v>7</v>
      </c>
      <c r="W180" s="16">
        <f t="shared" si="20"/>
        <v>1089621</v>
      </c>
      <c r="X180" s="64">
        <v>965107</v>
      </c>
      <c r="Y180" s="64">
        <v>111217</v>
      </c>
      <c r="Z180" s="23">
        <v>3040</v>
      </c>
      <c r="AA180" s="23">
        <v>2158</v>
      </c>
      <c r="AB180" s="23">
        <v>8083</v>
      </c>
      <c r="AC180" s="23">
        <v>2</v>
      </c>
      <c r="AD180" s="23">
        <v>14</v>
      </c>
      <c r="AE180" s="20">
        <f t="shared" si="26"/>
        <v>16</v>
      </c>
      <c r="AF180" s="20">
        <f t="shared" si="21"/>
        <v>1089605</v>
      </c>
    </row>
    <row r="181" spans="1:32">
      <c r="A181" s="2">
        <v>1989</v>
      </c>
      <c r="B181" s="2">
        <v>8</v>
      </c>
      <c r="C181" s="16">
        <f t="shared" si="18"/>
        <v>2527106</v>
      </c>
      <c r="D181" s="17">
        <v>1254487</v>
      </c>
      <c r="E181" s="17">
        <v>659443</v>
      </c>
      <c r="F181" s="18">
        <v>322477</v>
      </c>
      <c r="G181" s="18">
        <v>117418</v>
      </c>
      <c r="H181" s="19">
        <f t="shared" si="19"/>
        <v>205059</v>
      </c>
      <c r="I181" s="18">
        <v>1704</v>
      </c>
      <c r="J181" s="18">
        <v>131012</v>
      </c>
      <c r="K181" s="18">
        <v>26181</v>
      </c>
      <c r="L181" s="18">
        <v>131802</v>
      </c>
      <c r="M181" s="65">
        <v>1849839</v>
      </c>
      <c r="N181" s="20">
        <f t="shared" si="27"/>
        <v>157401</v>
      </c>
      <c r="O181" s="20">
        <f t="shared" si="28"/>
        <v>2684507</v>
      </c>
      <c r="P181" s="65">
        <v>13986</v>
      </c>
      <c r="Q181" s="20">
        <f t="shared" si="29"/>
        <v>151070</v>
      </c>
      <c r="R181" s="24">
        <v>2849563</v>
      </c>
      <c r="S181" s="25">
        <f t="shared" si="30"/>
        <v>5.301514653299471E-2</v>
      </c>
      <c r="U181" s="2">
        <v>1989</v>
      </c>
      <c r="V181" s="2">
        <v>8</v>
      </c>
      <c r="W181" s="16">
        <f t="shared" si="20"/>
        <v>1092496</v>
      </c>
      <c r="X181" s="64">
        <v>967667</v>
      </c>
      <c r="Y181" s="64">
        <v>111463</v>
      </c>
      <c r="Z181" s="23">
        <v>3039</v>
      </c>
      <c r="AA181" s="23">
        <v>2168</v>
      </c>
      <c r="AB181" s="23">
        <v>8143</v>
      </c>
      <c r="AC181" s="23">
        <v>2</v>
      </c>
      <c r="AD181" s="23">
        <v>14</v>
      </c>
      <c r="AE181" s="20">
        <f t="shared" si="26"/>
        <v>16</v>
      </c>
      <c r="AF181" s="20">
        <f t="shared" si="21"/>
        <v>1092480</v>
      </c>
    </row>
    <row r="182" spans="1:32">
      <c r="A182" s="2">
        <v>1989</v>
      </c>
      <c r="B182" s="2">
        <v>9</v>
      </c>
      <c r="C182" s="16">
        <f t="shared" si="18"/>
        <v>2703467</v>
      </c>
      <c r="D182" s="17">
        <v>1330448</v>
      </c>
      <c r="E182" s="17">
        <v>703698</v>
      </c>
      <c r="F182" s="18">
        <v>326407</v>
      </c>
      <c r="G182" s="18">
        <v>106464</v>
      </c>
      <c r="H182" s="19">
        <f t="shared" si="19"/>
        <v>219943</v>
      </c>
      <c r="I182" s="18">
        <v>1652</v>
      </c>
      <c r="J182" s="18">
        <v>157681</v>
      </c>
      <c r="K182" s="18">
        <v>38382</v>
      </c>
      <c r="L182" s="18">
        <v>145199</v>
      </c>
      <c r="M182" s="65">
        <v>1558071</v>
      </c>
      <c r="N182" s="20">
        <f t="shared" si="27"/>
        <v>-291768</v>
      </c>
      <c r="O182" s="20">
        <f t="shared" si="28"/>
        <v>2411699</v>
      </c>
      <c r="P182" s="65">
        <v>18672</v>
      </c>
      <c r="Q182" s="20">
        <f t="shared" si="29"/>
        <v>148689</v>
      </c>
      <c r="R182" s="24">
        <v>2579060</v>
      </c>
      <c r="S182" s="25">
        <f t="shared" si="30"/>
        <v>5.7652400486999142E-2</v>
      </c>
      <c r="U182" s="2">
        <v>1989</v>
      </c>
      <c r="V182" s="2">
        <v>9</v>
      </c>
      <c r="W182" s="16">
        <f t="shared" si="20"/>
        <v>1096764</v>
      </c>
      <c r="X182" s="64">
        <v>971444</v>
      </c>
      <c r="Y182" s="64">
        <v>111818</v>
      </c>
      <c r="Z182" s="23">
        <v>3047</v>
      </c>
      <c r="AA182" s="23">
        <v>2175</v>
      </c>
      <c r="AB182" s="23">
        <v>8265</v>
      </c>
      <c r="AC182" s="23">
        <v>2</v>
      </c>
      <c r="AD182" s="23">
        <v>13</v>
      </c>
      <c r="AE182" s="20">
        <f t="shared" si="26"/>
        <v>15</v>
      </c>
      <c r="AF182" s="20">
        <f t="shared" si="21"/>
        <v>1096749</v>
      </c>
    </row>
    <row r="183" spans="1:32">
      <c r="A183" s="2">
        <v>1989</v>
      </c>
      <c r="B183" s="2">
        <v>10</v>
      </c>
      <c r="C183" s="16">
        <f t="shared" si="18"/>
        <v>2360374</v>
      </c>
      <c r="D183" s="17">
        <v>1103314</v>
      </c>
      <c r="E183" s="17">
        <v>632299</v>
      </c>
      <c r="F183" s="18">
        <v>305246</v>
      </c>
      <c r="G183" s="18">
        <v>104298</v>
      </c>
      <c r="H183" s="19">
        <f t="shared" si="19"/>
        <v>200948</v>
      </c>
      <c r="I183" s="18">
        <v>1645</v>
      </c>
      <c r="J183" s="18">
        <v>147313</v>
      </c>
      <c r="K183" s="18">
        <v>42972</v>
      </c>
      <c r="L183" s="18">
        <v>127585</v>
      </c>
      <c r="M183" s="65">
        <v>1327100</v>
      </c>
      <c r="N183" s="20">
        <f t="shared" si="27"/>
        <v>-230971</v>
      </c>
      <c r="O183" s="20">
        <f t="shared" si="28"/>
        <v>2129403</v>
      </c>
      <c r="P183" s="65">
        <v>22421</v>
      </c>
      <c r="Q183" s="20">
        <f t="shared" si="29"/>
        <v>124659</v>
      </c>
      <c r="R183" s="24">
        <v>2276483</v>
      </c>
      <c r="S183" s="25">
        <f t="shared" si="30"/>
        <v>5.4759468882482322E-2</v>
      </c>
      <c r="U183" s="2">
        <v>1989</v>
      </c>
      <c r="V183" s="2">
        <v>10</v>
      </c>
      <c r="W183" s="16">
        <f t="shared" si="20"/>
        <v>1103694</v>
      </c>
      <c r="X183" s="64">
        <v>978074</v>
      </c>
      <c r="Y183" s="64">
        <v>112092</v>
      </c>
      <c r="Z183" s="23">
        <v>3060</v>
      </c>
      <c r="AA183" s="23">
        <v>2178</v>
      </c>
      <c r="AB183" s="23">
        <v>8274</v>
      </c>
      <c r="AC183" s="23">
        <v>2</v>
      </c>
      <c r="AD183" s="23">
        <v>14</v>
      </c>
      <c r="AE183" s="20">
        <f t="shared" si="26"/>
        <v>16</v>
      </c>
      <c r="AF183" s="20">
        <f t="shared" si="21"/>
        <v>1103678</v>
      </c>
    </row>
    <row r="184" spans="1:32">
      <c r="A184" s="2">
        <v>1989</v>
      </c>
      <c r="B184" s="2">
        <v>11</v>
      </c>
      <c r="C184" s="16">
        <f t="shared" si="18"/>
        <v>1930577</v>
      </c>
      <c r="D184" s="17">
        <v>804003</v>
      </c>
      <c r="E184" s="17">
        <v>554752</v>
      </c>
      <c r="F184" s="18">
        <v>307127</v>
      </c>
      <c r="G184" s="18">
        <v>107559</v>
      </c>
      <c r="H184" s="19">
        <f t="shared" si="19"/>
        <v>199568</v>
      </c>
      <c r="I184" s="18">
        <v>1833</v>
      </c>
      <c r="J184" s="18">
        <v>131381</v>
      </c>
      <c r="K184" s="18">
        <v>24699</v>
      </c>
      <c r="L184" s="18">
        <v>106782</v>
      </c>
      <c r="M184" s="65">
        <v>1199861</v>
      </c>
      <c r="N184" s="20">
        <f t="shared" si="27"/>
        <v>-127239</v>
      </c>
      <c r="O184" s="20">
        <f t="shared" si="28"/>
        <v>1803338</v>
      </c>
      <c r="P184" s="65">
        <v>15549</v>
      </c>
      <c r="Q184" s="20">
        <f t="shared" si="29"/>
        <v>90032</v>
      </c>
      <c r="R184" s="24">
        <v>1908919</v>
      </c>
      <c r="S184" s="25">
        <f t="shared" si="30"/>
        <v>4.716386604146116E-2</v>
      </c>
      <c r="U184" s="2">
        <v>1989</v>
      </c>
      <c r="V184" s="2">
        <v>11</v>
      </c>
      <c r="W184" s="16">
        <f t="shared" si="20"/>
        <v>1118516</v>
      </c>
      <c r="X184" s="64">
        <v>992296</v>
      </c>
      <c r="Y184" s="64">
        <v>112655</v>
      </c>
      <c r="Z184" s="23">
        <v>3055</v>
      </c>
      <c r="AA184" s="23">
        <v>2185</v>
      </c>
      <c r="AB184" s="23">
        <v>8309</v>
      </c>
      <c r="AC184" s="23">
        <v>2</v>
      </c>
      <c r="AD184" s="23">
        <v>14</v>
      </c>
      <c r="AE184" s="20">
        <f t="shared" si="26"/>
        <v>16</v>
      </c>
      <c r="AF184" s="20">
        <f t="shared" si="21"/>
        <v>1118500</v>
      </c>
    </row>
    <row r="185" spans="1:32">
      <c r="A185" s="2">
        <v>1989</v>
      </c>
      <c r="B185" s="2">
        <v>12</v>
      </c>
      <c r="C185" s="16">
        <f t="shared" si="18"/>
        <v>1937655</v>
      </c>
      <c r="D185" s="17">
        <v>882757</v>
      </c>
      <c r="E185" s="17">
        <v>527899</v>
      </c>
      <c r="F185" s="18">
        <v>296650</v>
      </c>
      <c r="G185" s="18">
        <v>106509</v>
      </c>
      <c r="H185" s="19">
        <f t="shared" si="19"/>
        <v>190141</v>
      </c>
      <c r="I185" s="18">
        <v>1682</v>
      </c>
      <c r="J185" s="18">
        <v>124189</v>
      </c>
      <c r="K185" s="18">
        <v>5272</v>
      </c>
      <c r="L185" s="18">
        <v>99206</v>
      </c>
      <c r="M185" s="65">
        <v>1710130</v>
      </c>
      <c r="N185" s="20">
        <f t="shared" si="27"/>
        <v>510269</v>
      </c>
      <c r="O185" s="20">
        <f t="shared" si="28"/>
        <v>2447924</v>
      </c>
      <c r="P185" s="65">
        <v>11402</v>
      </c>
      <c r="Q185" s="20">
        <f t="shared" si="29"/>
        <v>124379</v>
      </c>
      <c r="R185" s="24">
        <v>2583705</v>
      </c>
      <c r="S185" s="25">
        <f t="shared" si="30"/>
        <v>4.8139783760142899E-2</v>
      </c>
      <c r="U185" s="2">
        <v>1989</v>
      </c>
      <c r="V185" s="2">
        <v>12</v>
      </c>
      <c r="W185" s="16">
        <f t="shared" si="20"/>
        <v>1129078</v>
      </c>
      <c r="X185" s="64">
        <v>1002694</v>
      </c>
      <c r="Y185" s="64">
        <v>112732</v>
      </c>
      <c r="Z185" s="23">
        <v>3060</v>
      </c>
      <c r="AA185" s="23">
        <v>2187</v>
      </c>
      <c r="AB185" s="23">
        <v>8390</v>
      </c>
      <c r="AC185" s="23">
        <v>2</v>
      </c>
      <c r="AD185" s="23">
        <v>13</v>
      </c>
      <c r="AE185" s="20">
        <f t="shared" si="26"/>
        <v>15</v>
      </c>
      <c r="AF185" s="20">
        <f t="shared" si="21"/>
        <v>1129063</v>
      </c>
    </row>
    <row r="186" spans="1:32">
      <c r="A186" s="2">
        <v>1990</v>
      </c>
      <c r="B186" s="2">
        <v>1</v>
      </c>
      <c r="C186" s="16">
        <f t="shared" si="18"/>
        <v>2260510</v>
      </c>
      <c r="D186" s="17">
        <v>1231917</v>
      </c>
      <c r="E186" s="17">
        <v>525783</v>
      </c>
      <c r="F186" s="18">
        <v>288786</v>
      </c>
      <c r="G186" s="18">
        <v>105757</v>
      </c>
      <c r="H186" s="19">
        <f t="shared" si="19"/>
        <v>183029</v>
      </c>
      <c r="I186" s="18">
        <v>1679</v>
      </c>
      <c r="J186" s="18">
        <v>116204</v>
      </c>
      <c r="K186" s="18">
        <v>604</v>
      </c>
      <c r="L186" s="18">
        <v>95537</v>
      </c>
      <c r="M186" s="65">
        <v>1415463</v>
      </c>
      <c r="N186" s="20">
        <f t="shared" si="27"/>
        <v>-294667</v>
      </c>
      <c r="O186" s="20">
        <f t="shared" si="28"/>
        <v>1965843</v>
      </c>
      <c r="P186" s="65">
        <v>16677</v>
      </c>
      <c r="Q186" s="20">
        <f t="shared" si="29"/>
        <v>126491</v>
      </c>
      <c r="R186" s="24">
        <v>2109011</v>
      </c>
      <c r="S186" s="25">
        <f t="shared" si="30"/>
        <v>5.997645341821356E-2</v>
      </c>
      <c r="U186" s="2">
        <v>1990</v>
      </c>
      <c r="V186" s="2">
        <v>1</v>
      </c>
      <c r="W186" s="16">
        <f t="shared" si="20"/>
        <v>1136609</v>
      </c>
      <c r="X186" s="64">
        <v>1010128</v>
      </c>
      <c r="Y186" s="64">
        <v>112770</v>
      </c>
      <c r="Z186" s="23">
        <v>3059</v>
      </c>
      <c r="AA186" s="23">
        <v>2190</v>
      </c>
      <c r="AB186" s="23">
        <v>8447</v>
      </c>
      <c r="AC186" s="23">
        <v>2</v>
      </c>
      <c r="AD186" s="23">
        <v>13</v>
      </c>
      <c r="AE186" s="20">
        <f t="shared" si="26"/>
        <v>15</v>
      </c>
      <c r="AF186" s="20">
        <f t="shared" si="21"/>
        <v>1136594</v>
      </c>
    </row>
    <row r="187" spans="1:32">
      <c r="A187" s="2">
        <v>1990</v>
      </c>
      <c r="B187" s="2">
        <v>2</v>
      </c>
      <c r="C187" s="16">
        <f t="shared" si="18"/>
        <v>1991841</v>
      </c>
      <c r="D187" s="17">
        <v>836257</v>
      </c>
      <c r="E187" s="17">
        <v>534689</v>
      </c>
      <c r="F187" s="18">
        <v>310882</v>
      </c>
      <c r="G187" s="18">
        <v>109391</v>
      </c>
      <c r="H187" s="19">
        <f t="shared" si="19"/>
        <v>201491</v>
      </c>
      <c r="I187" s="18">
        <v>1678</v>
      </c>
      <c r="J187" s="18">
        <v>124069</v>
      </c>
      <c r="K187" s="18">
        <v>59860</v>
      </c>
      <c r="L187" s="18">
        <v>124406</v>
      </c>
      <c r="M187" s="65">
        <v>1179071</v>
      </c>
      <c r="N187" s="20">
        <f t="shared" si="27"/>
        <v>-236392</v>
      </c>
      <c r="O187" s="20">
        <f t="shared" si="28"/>
        <v>1755449</v>
      </c>
      <c r="P187" s="65">
        <v>14551</v>
      </c>
      <c r="Q187" s="20">
        <f t="shared" si="29"/>
        <v>92823</v>
      </c>
      <c r="R187" s="24">
        <v>1862823</v>
      </c>
      <c r="S187" s="25">
        <f t="shared" si="30"/>
        <v>4.9829210826793528E-2</v>
      </c>
      <c r="U187" s="2">
        <v>1990</v>
      </c>
      <c r="V187" s="2">
        <v>2</v>
      </c>
      <c r="W187" s="16">
        <f t="shared" si="20"/>
        <v>1141405</v>
      </c>
      <c r="X187" s="64">
        <v>1014817</v>
      </c>
      <c r="Y187" s="64">
        <v>112762</v>
      </c>
      <c r="Z187" s="23">
        <v>3098</v>
      </c>
      <c r="AA187" s="23">
        <v>2202</v>
      </c>
      <c r="AB187" s="23">
        <v>8509</v>
      </c>
      <c r="AC187" s="23">
        <v>2</v>
      </c>
      <c r="AD187" s="23">
        <v>15</v>
      </c>
      <c r="AE187" s="20">
        <f t="shared" si="26"/>
        <v>17</v>
      </c>
      <c r="AF187" s="20">
        <f t="shared" si="21"/>
        <v>1141388</v>
      </c>
    </row>
    <row r="188" spans="1:32">
      <c r="A188" s="2">
        <v>1990</v>
      </c>
      <c r="B188" s="2">
        <v>3</v>
      </c>
      <c r="C188" s="16">
        <f t="shared" si="18"/>
        <v>1827689</v>
      </c>
      <c r="D188" s="17">
        <v>758984</v>
      </c>
      <c r="E188" s="17">
        <v>526975</v>
      </c>
      <c r="F188" s="18">
        <v>301610</v>
      </c>
      <c r="G188" s="18">
        <v>107513</v>
      </c>
      <c r="H188" s="19">
        <f t="shared" si="19"/>
        <v>194097</v>
      </c>
      <c r="I188" s="18">
        <v>1520</v>
      </c>
      <c r="J188" s="18">
        <v>121119</v>
      </c>
      <c r="K188" s="18">
        <v>5945</v>
      </c>
      <c r="L188" s="18">
        <v>111536</v>
      </c>
      <c r="M188" s="65">
        <v>1187578</v>
      </c>
      <c r="N188" s="20">
        <f t="shared" si="27"/>
        <v>8507</v>
      </c>
      <c r="O188" s="20">
        <f t="shared" si="28"/>
        <v>1836196</v>
      </c>
      <c r="P188" s="65">
        <v>13604</v>
      </c>
      <c r="Q188" s="20">
        <f t="shared" si="29"/>
        <v>119454</v>
      </c>
      <c r="R188" s="24">
        <v>1969254</v>
      </c>
      <c r="S188" s="25">
        <f t="shared" si="30"/>
        <v>6.0659518782239366E-2</v>
      </c>
      <c r="U188" s="2">
        <v>1990</v>
      </c>
      <c r="V188" s="2">
        <v>3</v>
      </c>
      <c r="W188" s="16">
        <f t="shared" si="20"/>
        <v>1144631</v>
      </c>
      <c r="X188" s="64">
        <v>1017728</v>
      </c>
      <c r="Y188" s="64">
        <v>112986</v>
      </c>
      <c r="Z188" s="23">
        <v>3116</v>
      </c>
      <c r="AA188" s="23">
        <v>2217</v>
      </c>
      <c r="AB188" s="23">
        <v>8567</v>
      </c>
      <c r="AC188" s="23">
        <v>2</v>
      </c>
      <c r="AD188" s="23">
        <v>15</v>
      </c>
      <c r="AE188" s="20">
        <f t="shared" si="26"/>
        <v>17</v>
      </c>
      <c r="AF188" s="20">
        <f t="shared" si="21"/>
        <v>1144614</v>
      </c>
    </row>
    <row r="189" spans="1:32">
      <c r="A189" s="2">
        <v>1990</v>
      </c>
      <c r="B189" s="2">
        <v>4</v>
      </c>
      <c r="C189" s="16">
        <f t="shared" si="18"/>
        <v>1782345</v>
      </c>
      <c r="D189" s="17">
        <v>736925</v>
      </c>
      <c r="E189" s="17">
        <v>546297</v>
      </c>
      <c r="F189" s="18">
        <v>302959</v>
      </c>
      <c r="G189" s="18">
        <v>103001</v>
      </c>
      <c r="H189" s="19">
        <f t="shared" si="19"/>
        <v>199958</v>
      </c>
      <c r="I189" s="18">
        <v>1714</v>
      </c>
      <c r="J189" s="18">
        <v>125387</v>
      </c>
      <c r="K189" s="18">
        <v>665</v>
      </c>
      <c r="L189" s="18">
        <v>68398</v>
      </c>
      <c r="M189" s="65">
        <v>1200544</v>
      </c>
      <c r="N189" s="20">
        <f t="shared" si="27"/>
        <v>12966</v>
      </c>
      <c r="O189" s="20">
        <f t="shared" si="28"/>
        <v>1795311</v>
      </c>
      <c r="P189" s="65">
        <v>12297</v>
      </c>
      <c r="Q189" s="20">
        <f t="shared" si="29"/>
        <v>98539</v>
      </c>
      <c r="R189" s="24">
        <v>1906147</v>
      </c>
      <c r="S189" s="25">
        <f t="shared" si="30"/>
        <v>5.1695383409569147E-2</v>
      </c>
      <c r="U189" s="2">
        <v>1990</v>
      </c>
      <c r="V189" s="2">
        <v>4</v>
      </c>
      <c r="W189" s="16">
        <f t="shared" si="20"/>
        <v>1139790</v>
      </c>
      <c r="X189" s="64">
        <v>1012501</v>
      </c>
      <c r="Y189" s="64">
        <v>113305</v>
      </c>
      <c r="Z189" s="23">
        <v>3130</v>
      </c>
      <c r="AA189" s="23">
        <v>2229</v>
      </c>
      <c r="AB189" s="23">
        <v>8608</v>
      </c>
      <c r="AC189" s="23">
        <v>2</v>
      </c>
      <c r="AD189" s="23">
        <v>15</v>
      </c>
      <c r="AE189" s="20">
        <f t="shared" si="26"/>
        <v>17</v>
      </c>
      <c r="AF189" s="20">
        <f t="shared" si="21"/>
        <v>1139773</v>
      </c>
    </row>
    <row r="190" spans="1:32">
      <c r="A190" s="2">
        <v>1990</v>
      </c>
      <c r="B190" s="2">
        <v>5</v>
      </c>
      <c r="C190" s="16">
        <f t="shared" si="18"/>
        <v>1955203</v>
      </c>
      <c r="D190" s="17">
        <v>853133</v>
      </c>
      <c r="E190" s="17">
        <v>596510</v>
      </c>
      <c r="F190" s="18">
        <v>289249</v>
      </c>
      <c r="G190" s="18">
        <v>92364</v>
      </c>
      <c r="H190" s="19">
        <f t="shared" si="19"/>
        <v>196885</v>
      </c>
      <c r="I190" s="18">
        <v>1755</v>
      </c>
      <c r="J190" s="18">
        <v>136843</v>
      </c>
      <c r="K190" s="18">
        <v>290</v>
      </c>
      <c r="L190" s="18">
        <v>77423</v>
      </c>
      <c r="M190" s="65">
        <v>1597102</v>
      </c>
      <c r="N190" s="20">
        <f t="shared" si="27"/>
        <v>396558</v>
      </c>
      <c r="O190" s="20">
        <f t="shared" si="28"/>
        <v>2351761</v>
      </c>
      <c r="P190" s="65">
        <v>12183</v>
      </c>
      <c r="Q190" s="20">
        <f t="shared" si="29"/>
        <v>133469</v>
      </c>
      <c r="R190" s="24">
        <v>2497413</v>
      </c>
      <c r="S190" s="25">
        <f t="shared" si="30"/>
        <v>5.3442902715730239E-2</v>
      </c>
      <c r="U190" s="2">
        <v>1990</v>
      </c>
      <c r="V190" s="2">
        <v>5</v>
      </c>
      <c r="W190" s="16">
        <f t="shared" si="20"/>
        <v>1125445</v>
      </c>
      <c r="X190" s="64">
        <v>998105</v>
      </c>
      <c r="Y190" s="64">
        <v>113274</v>
      </c>
      <c r="Z190" s="23">
        <v>3129</v>
      </c>
      <c r="AA190" s="23">
        <v>2252</v>
      </c>
      <c r="AB190" s="23">
        <v>8667</v>
      </c>
      <c r="AC190" s="23">
        <v>2</v>
      </c>
      <c r="AD190" s="23">
        <v>16</v>
      </c>
      <c r="AE190" s="20">
        <f t="shared" si="26"/>
        <v>18</v>
      </c>
      <c r="AF190" s="20">
        <f t="shared" si="21"/>
        <v>1125427</v>
      </c>
    </row>
    <row r="191" spans="1:32">
      <c r="A191" s="2">
        <v>1990</v>
      </c>
      <c r="B191" s="2">
        <v>6</v>
      </c>
      <c r="C191" s="16">
        <f t="shared" si="18"/>
        <v>2342714</v>
      </c>
      <c r="D191" s="17">
        <v>1149457</v>
      </c>
      <c r="E191" s="17">
        <v>664343</v>
      </c>
      <c r="F191" s="18">
        <v>296543</v>
      </c>
      <c r="G191" s="18">
        <v>91982</v>
      </c>
      <c r="H191" s="19">
        <f t="shared" si="19"/>
        <v>204561</v>
      </c>
      <c r="I191" s="18">
        <v>1771</v>
      </c>
      <c r="J191" s="18">
        <v>150870</v>
      </c>
      <c r="K191" s="18">
        <v>243</v>
      </c>
      <c r="L191" s="18">
        <v>79487</v>
      </c>
      <c r="M191" s="65">
        <v>1716177</v>
      </c>
      <c r="N191" s="20">
        <f t="shared" si="27"/>
        <v>119075</v>
      </c>
      <c r="O191" s="20">
        <f t="shared" si="28"/>
        <v>2461789</v>
      </c>
      <c r="P191" s="65">
        <v>16154</v>
      </c>
      <c r="Q191" s="20">
        <f t="shared" si="29"/>
        <v>196067</v>
      </c>
      <c r="R191" s="24">
        <v>2674010</v>
      </c>
      <c r="S191" s="25">
        <f t="shared" si="30"/>
        <v>7.3323211207138347E-2</v>
      </c>
      <c r="U191" s="2">
        <v>1990</v>
      </c>
      <c r="V191" s="2">
        <v>6</v>
      </c>
      <c r="W191" s="16">
        <f t="shared" si="20"/>
        <v>1122312</v>
      </c>
      <c r="X191" s="64">
        <v>994632</v>
      </c>
      <c r="Y191" s="64">
        <v>113572</v>
      </c>
      <c r="Z191" s="23">
        <v>3138</v>
      </c>
      <c r="AA191" s="23">
        <v>2266</v>
      </c>
      <c r="AB191" s="23">
        <v>8686</v>
      </c>
      <c r="AC191" s="23">
        <v>2</v>
      </c>
      <c r="AD191" s="23">
        <v>16</v>
      </c>
      <c r="AE191" s="20">
        <f t="shared" si="26"/>
        <v>18</v>
      </c>
      <c r="AF191" s="20">
        <f t="shared" si="21"/>
        <v>1122294</v>
      </c>
    </row>
    <row r="192" spans="1:32">
      <c r="A192" s="2">
        <v>1990</v>
      </c>
      <c r="B192" s="2">
        <v>7</v>
      </c>
      <c r="C192" s="16">
        <f t="shared" si="18"/>
        <v>2498163</v>
      </c>
      <c r="D192" s="17">
        <v>1270764</v>
      </c>
      <c r="E192" s="17">
        <v>687094</v>
      </c>
      <c r="F192" s="18">
        <v>280758</v>
      </c>
      <c r="G192" s="18">
        <v>76376</v>
      </c>
      <c r="H192" s="19">
        <f t="shared" si="19"/>
        <v>204382</v>
      </c>
      <c r="I192" s="18">
        <v>1736</v>
      </c>
      <c r="J192" s="18">
        <v>140729</v>
      </c>
      <c r="K192" s="18">
        <v>18115</v>
      </c>
      <c r="L192" s="18">
        <v>98967</v>
      </c>
      <c r="M192" s="65">
        <v>1823086</v>
      </c>
      <c r="N192" s="20">
        <f t="shared" si="27"/>
        <v>106909</v>
      </c>
      <c r="O192" s="20">
        <f t="shared" si="28"/>
        <v>2605072</v>
      </c>
      <c r="P192" s="65">
        <v>25109</v>
      </c>
      <c r="Q192" s="20">
        <f t="shared" si="29"/>
        <v>156621</v>
      </c>
      <c r="R192" s="24">
        <v>2786802</v>
      </c>
      <c r="S192" s="25">
        <f t="shared" si="30"/>
        <v>5.6200978756294852E-2</v>
      </c>
      <c r="U192" s="2">
        <v>1990</v>
      </c>
      <c r="V192" s="2">
        <v>7</v>
      </c>
      <c r="W192" s="16">
        <f t="shared" si="20"/>
        <v>1123256</v>
      </c>
      <c r="X192" s="64">
        <v>995438</v>
      </c>
      <c r="Y192" s="64">
        <v>113726</v>
      </c>
      <c r="Z192" s="23">
        <v>3133</v>
      </c>
      <c r="AA192" s="23">
        <v>2280</v>
      </c>
      <c r="AB192" s="23">
        <v>8662</v>
      </c>
      <c r="AC192" s="23">
        <v>2</v>
      </c>
      <c r="AD192" s="23">
        <v>15</v>
      </c>
      <c r="AE192" s="20">
        <f t="shared" si="26"/>
        <v>17</v>
      </c>
      <c r="AF192" s="20">
        <f t="shared" si="21"/>
        <v>1123239</v>
      </c>
    </row>
    <row r="193" spans="1:32">
      <c r="A193" s="2">
        <v>1990</v>
      </c>
      <c r="B193" s="2">
        <v>8</v>
      </c>
      <c r="C193" s="16">
        <f t="shared" si="18"/>
        <v>2658083</v>
      </c>
      <c r="D193" s="17">
        <v>1342840</v>
      </c>
      <c r="E193" s="17">
        <v>715761</v>
      </c>
      <c r="F193" s="18">
        <v>291580</v>
      </c>
      <c r="G193" s="18">
        <v>78952</v>
      </c>
      <c r="H193" s="19">
        <f t="shared" si="19"/>
        <v>212628</v>
      </c>
      <c r="I193" s="18">
        <v>1777</v>
      </c>
      <c r="J193" s="18">
        <v>144013</v>
      </c>
      <c r="K193" s="18">
        <v>43243</v>
      </c>
      <c r="L193" s="18">
        <v>118869</v>
      </c>
      <c r="M193" s="65">
        <v>1856531</v>
      </c>
      <c r="N193" s="20">
        <f t="shared" si="27"/>
        <v>33445</v>
      </c>
      <c r="O193" s="20">
        <f t="shared" si="28"/>
        <v>2691528</v>
      </c>
      <c r="P193" s="65">
        <v>13221</v>
      </c>
      <c r="Q193" s="20">
        <f t="shared" si="29"/>
        <v>196305</v>
      </c>
      <c r="R193" s="24">
        <v>2901054</v>
      </c>
      <c r="S193" s="25">
        <f t="shared" si="30"/>
        <v>6.7666785933664111E-2</v>
      </c>
      <c r="U193" s="2">
        <v>1990</v>
      </c>
      <c r="V193" s="2">
        <v>8</v>
      </c>
      <c r="W193" s="16">
        <f t="shared" si="20"/>
        <v>1125295</v>
      </c>
      <c r="X193" s="64">
        <v>997263</v>
      </c>
      <c r="Y193" s="64">
        <v>113857</v>
      </c>
      <c r="Z193" s="23">
        <v>3117</v>
      </c>
      <c r="AA193" s="23">
        <v>2285</v>
      </c>
      <c r="AB193" s="23">
        <v>8755</v>
      </c>
      <c r="AC193" s="23">
        <v>2</v>
      </c>
      <c r="AD193" s="23">
        <v>16</v>
      </c>
      <c r="AE193" s="20">
        <f t="shared" si="26"/>
        <v>18</v>
      </c>
      <c r="AF193" s="20">
        <f t="shared" si="21"/>
        <v>1125277</v>
      </c>
    </row>
    <row r="194" spans="1:32">
      <c r="A194" s="2">
        <v>1990</v>
      </c>
      <c r="B194" s="2">
        <v>9</v>
      </c>
      <c r="C194" s="16">
        <f t="shared" si="18"/>
        <v>2648898</v>
      </c>
      <c r="D194" s="17">
        <v>1331295</v>
      </c>
      <c r="E194" s="17">
        <v>707699</v>
      </c>
      <c r="F194" s="18">
        <v>283214</v>
      </c>
      <c r="G194" s="18">
        <v>74546</v>
      </c>
      <c r="H194" s="19">
        <f t="shared" si="19"/>
        <v>208668</v>
      </c>
      <c r="I194" s="18">
        <v>1761</v>
      </c>
      <c r="J194" s="18">
        <v>162393</v>
      </c>
      <c r="K194" s="18">
        <v>46799</v>
      </c>
      <c r="L194" s="18">
        <v>115737</v>
      </c>
      <c r="M194" s="65">
        <v>1735130</v>
      </c>
      <c r="N194" s="20">
        <f t="shared" si="27"/>
        <v>-121401</v>
      </c>
      <c r="O194" s="20">
        <f t="shared" si="28"/>
        <v>2527497</v>
      </c>
      <c r="P194" s="65">
        <v>15242</v>
      </c>
      <c r="Q194" s="20">
        <f t="shared" si="29"/>
        <v>152063</v>
      </c>
      <c r="R194" s="24">
        <v>2694802</v>
      </c>
      <c r="S194" s="25">
        <f t="shared" si="30"/>
        <v>5.6428264488448503E-2</v>
      </c>
      <c r="U194" s="2">
        <v>1990</v>
      </c>
      <c r="V194" s="2">
        <v>9</v>
      </c>
      <c r="W194" s="16">
        <f t="shared" si="20"/>
        <v>1127843</v>
      </c>
      <c r="X194" s="64">
        <v>999597</v>
      </c>
      <c r="Y194" s="64">
        <v>113986</v>
      </c>
      <c r="Z194" s="23">
        <v>3119</v>
      </c>
      <c r="AA194" s="23">
        <v>2285</v>
      </c>
      <c r="AB194" s="23">
        <v>8838</v>
      </c>
      <c r="AC194" s="23">
        <v>2</v>
      </c>
      <c r="AD194" s="23">
        <v>16</v>
      </c>
      <c r="AE194" s="20">
        <f t="shared" si="26"/>
        <v>18</v>
      </c>
      <c r="AF194" s="20">
        <f t="shared" si="21"/>
        <v>1127825</v>
      </c>
    </row>
    <row r="195" spans="1:32">
      <c r="A195" s="2">
        <v>1990</v>
      </c>
      <c r="B195" s="2">
        <v>10</v>
      </c>
      <c r="C195" s="16">
        <f t="shared" si="18"/>
        <v>2452461</v>
      </c>
      <c r="D195" s="17">
        <v>1173332</v>
      </c>
      <c r="E195" s="17">
        <v>667161</v>
      </c>
      <c r="F195" s="18">
        <v>265989</v>
      </c>
      <c r="G195" s="18">
        <v>69638</v>
      </c>
      <c r="H195" s="19">
        <f t="shared" si="19"/>
        <v>196351</v>
      </c>
      <c r="I195" s="18">
        <v>1781</v>
      </c>
      <c r="J195" s="18">
        <v>157653</v>
      </c>
      <c r="K195" s="18">
        <v>53768</v>
      </c>
      <c r="L195" s="18">
        <v>132777</v>
      </c>
      <c r="M195" s="65">
        <v>1566469</v>
      </c>
      <c r="N195" s="20">
        <f t="shared" si="27"/>
        <v>-168661</v>
      </c>
      <c r="O195" s="20">
        <f t="shared" si="28"/>
        <v>2283800</v>
      </c>
      <c r="P195" s="65">
        <v>20262</v>
      </c>
      <c r="Q195" s="20">
        <f t="shared" si="29"/>
        <v>134023</v>
      </c>
      <c r="R195" s="24">
        <v>2438085</v>
      </c>
      <c r="S195" s="25">
        <f t="shared" si="30"/>
        <v>5.4970601927332309E-2</v>
      </c>
      <c r="U195" s="2">
        <v>1990</v>
      </c>
      <c r="V195" s="2">
        <v>10</v>
      </c>
      <c r="W195" s="16">
        <f t="shared" si="20"/>
        <v>1133831</v>
      </c>
      <c r="X195" s="64">
        <v>1005342</v>
      </c>
      <c r="Y195" s="64">
        <v>114184</v>
      </c>
      <c r="Z195" s="23">
        <v>3115</v>
      </c>
      <c r="AA195" s="23">
        <v>2281</v>
      </c>
      <c r="AB195" s="23">
        <v>8891</v>
      </c>
      <c r="AC195" s="23">
        <v>2</v>
      </c>
      <c r="AD195" s="23">
        <v>16</v>
      </c>
      <c r="AE195" s="20">
        <f t="shared" si="26"/>
        <v>18</v>
      </c>
      <c r="AF195" s="20">
        <f t="shared" si="21"/>
        <v>1133813</v>
      </c>
    </row>
    <row r="196" spans="1:32">
      <c r="A196" s="2">
        <v>1990</v>
      </c>
      <c r="B196" s="2">
        <v>11</v>
      </c>
      <c r="C196" s="16">
        <f t="shared" si="18"/>
        <v>2082852</v>
      </c>
      <c r="D196" s="17">
        <v>894217</v>
      </c>
      <c r="E196" s="17">
        <v>597104</v>
      </c>
      <c r="F196" s="18">
        <v>274242</v>
      </c>
      <c r="G196" s="18">
        <v>77478</v>
      </c>
      <c r="H196" s="19">
        <f t="shared" si="19"/>
        <v>196764</v>
      </c>
      <c r="I196" s="18">
        <v>1788</v>
      </c>
      <c r="J196" s="18">
        <v>145018</v>
      </c>
      <c r="K196" s="18">
        <v>43496</v>
      </c>
      <c r="L196" s="18">
        <v>126987</v>
      </c>
      <c r="M196" s="65">
        <v>1268285</v>
      </c>
      <c r="N196" s="20">
        <f t="shared" si="27"/>
        <v>-298184</v>
      </c>
      <c r="O196" s="20">
        <f t="shared" si="28"/>
        <v>1784668</v>
      </c>
      <c r="P196" s="65">
        <v>19516</v>
      </c>
      <c r="Q196" s="20">
        <f t="shared" si="29"/>
        <v>112555</v>
      </c>
      <c r="R196" s="24">
        <v>1916739</v>
      </c>
      <c r="S196" s="25">
        <f t="shared" si="30"/>
        <v>5.8722131703899172E-2</v>
      </c>
      <c r="U196" s="2">
        <v>1990</v>
      </c>
      <c r="V196" s="2">
        <v>11</v>
      </c>
      <c r="W196" s="16">
        <f t="shared" si="20"/>
        <v>1147602</v>
      </c>
      <c r="X196" s="64">
        <v>1018909</v>
      </c>
      <c r="Y196" s="64">
        <v>114354</v>
      </c>
      <c r="Z196" s="23">
        <v>3111</v>
      </c>
      <c r="AA196" s="23">
        <v>2282</v>
      </c>
      <c r="AB196" s="23">
        <v>8928</v>
      </c>
      <c r="AC196" s="23">
        <v>2</v>
      </c>
      <c r="AD196" s="23">
        <v>16</v>
      </c>
      <c r="AE196" s="20">
        <f t="shared" si="26"/>
        <v>18</v>
      </c>
      <c r="AF196" s="20">
        <f t="shared" si="21"/>
        <v>1147584</v>
      </c>
    </row>
    <row r="197" spans="1:32">
      <c r="A197" s="2">
        <v>1990</v>
      </c>
      <c r="B197" s="2">
        <v>12</v>
      </c>
      <c r="C197" s="16">
        <f t="shared" si="18"/>
        <v>1925553</v>
      </c>
      <c r="D197" s="17">
        <v>836392</v>
      </c>
      <c r="E197" s="17">
        <v>559332</v>
      </c>
      <c r="F197" s="18">
        <v>269896</v>
      </c>
      <c r="G197" s="18">
        <v>75938</v>
      </c>
      <c r="H197" s="19">
        <f t="shared" si="19"/>
        <v>193958</v>
      </c>
      <c r="I197" s="18">
        <v>1823</v>
      </c>
      <c r="J197" s="18">
        <v>133278</v>
      </c>
      <c r="K197" s="18">
        <v>12109</v>
      </c>
      <c r="L197" s="18">
        <v>112723</v>
      </c>
      <c r="M197" s="65">
        <v>1252292</v>
      </c>
      <c r="N197" s="20">
        <f t="shared" si="27"/>
        <v>-15993</v>
      </c>
      <c r="O197" s="20">
        <f t="shared" si="28"/>
        <v>1909560</v>
      </c>
      <c r="P197" s="65">
        <v>15201</v>
      </c>
      <c r="Q197" s="20">
        <f t="shared" si="29"/>
        <v>124526</v>
      </c>
      <c r="R197" s="24">
        <v>2049287</v>
      </c>
      <c r="S197" s="25">
        <f t="shared" si="30"/>
        <v>6.0765524789841541E-2</v>
      </c>
      <c r="U197" s="2">
        <v>1990</v>
      </c>
      <c r="V197" s="2">
        <v>12</v>
      </c>
      <c r="W197" s="16">
        <f t="shared" si="20"/>
        <v>1157966</v>
      </c>
      <c r="X197" s="64">
        <v>1029206</v>
      </c>
      <c r="Y197" s="64">
        <v>114366</v>
      </c>
      <c r="Z197" s="23">
        <v>3113</v>
      </c>
      <c r="AA197" s="23">
        <v>2291</v>
      </c>
      <c r="AB197" s="23">
        <v>8972</v>
      </c>
      <c r="AC197" s="23">
        <v>2</v>
      </c>
      <c r="AD197" s="23">
        <v>16</v>
      </c>
      <c r="AE197" s="20">
        <f t="shared" si="26"/>
        <v>18</v>
      </c>
      <c r="AF197" s="20">
        <f t="shared" si="21"/>
        <v>1157948</v>
      </c>
    </row>
    <row r="198" spans="1:32">
      <c r="A198" s="2">
        <v>1991</v>
      </c>
      <c r="B198" s="2">
        <v>1</v>
      </c>
      <c r="C198" s="16">
        <f t="shared" ref="C198:C279" si="31">SUM(D198:F198,I198:L198)</f>
        <v>1966123</v>
      </c>
      <c r="D198" s="17">
        <v>909914</v>
      </c>
      <c r="E198" s="17">
        <v>569429</v>
      </c>
      <c r="F198" s="18">
        <v>262413</v>
      </c>
      <c r="G198" s="18">
        <v>76066</v>
      </c>
      <c r="H198" s="19">
        <f t="shared" ref="H198:H279" si="32">(F198-G198)</f>
        <v>186347</v>
      </c>
      <c r="I198" s="18">
        <v>1844</v>
      </c>
      <c r="J198" s="18">
        <v>128280</v>
      </c>
      <c r="K198" s="18">
        <v>395</v>
      </c>
      <c r="L198" s="18">
        <v>93848</v>
      </c>
      <c r="M198" s="65">
        <v>1238348</v>
      </c>
      <c r="N198" s="20">
        <f t="shared" si="27"/>
        <v>-13944</v>
      </c>
      <c r="O198" s="20">
        <f t="shared" si="28"/>
        <v>1952179</v>
      </c>
      <c r="P198" s="65">
        <v>13503</v>
      </c>
      <c r="Q198" s="20">
        <f t="shared" si="29"/>
        <v>119773</v>
      </c>
      <c r="R198" s="24">
        <v>2085455</v>
      </c>
      <c r="S198" s="25">
        <f t="shared" si="30"/>
        <v>5.7432550690376921E-2</v>
      </c>
      <c r="U198" s="2">
        <v>1991</v>
      </c>
      <c r="V198" s="2">
        <v>1</v>
      </c>
      <c r="W198" s="16">
        <f t="shared" ref="W198:W279" si="33">SUM(X198:AD198)</f>
        <v>1165101</v>
      </c>
      <c r="X198" s="64">
        <v>1036625</v>
      </c>
      <c r="Y198" s="64">
        <v>114039</v>
      </c>
      <c r="Z198" s="23">
        <v>3120</v>
      </c>
      <c r="AA198" s="23">
        <v>2299</v>
      </c>
      <c r="AB198" s="23">
        <v>9000</v>
      </c>
      <c r="AC198" s="23">
        <v>2</v>
      </c>
      <c r="AD198" s="23">
        <v>16</v>
      </c>
      <c r="AE198" s="20">
        <f t="shared" si="26"/>
        <v>18</v>
      </c>
      <c r="AF198" s="20">
        <f t="shared" si="21"/>
        <v>1165083</v>
      </c>
    </row>
    <row r="199" spans="1:32">
      <c r="A199" s="2">
        <v>1991</v>
      </c>
      <c r="B199" s="2">
        <v>2</v>
      </c>
      <c r="C199" s="16">
        <f t="shared" si="31"/>
        <v>1877128</v>
      </c>
      <c r="D199" s="17">
        <v>874259</v>
      </c>
      <c r="E199" s="17">
        <v>519836</v>
      </c>
      <c r="F199" s="18">
        <v>258568</v>
      </c>
      <c r="G199" s="18">
        <v>75813</v>
      </c>
      <c r="H199" s="19">
        <f t="shared" si="32"/>
        <v>182755</v>
      </c>
      <c r="I199" s="18">
        <v>1863</v>
      </c>
      <c r="J199" s="18">
        <v>126387</v>
      </c>
      <c r="K199" s="18">
        <v>6761</v>
      </c>
      <c r="L199" s="18">
        <v>89454</v>
      </c>
      <c r="M199" s="65">
        <v>1152280</v>
      </c>
      <c r="N199" s="20">
        <f t="shared" si="27"/>
        <v>-86068</v>
      </c>
      <c r="O199" s="20">
        <f t="shared" si="28"/>
        <v>1791060</v>
      </c>
      <c r="P199" s="65">
        <v>11445</v>
      </c>
      <c r="Q199" s="20">
        <f t="shared" si="29"/>
        <v>114227</v>
      </c>
      <c r="R199" s="24">
        <v>1916732</v>
      </c>
      <c r="S199" s="25">
        <f t="shared" si="30"/>
        <v>5.9594664251444648E-2</v>
      </c>
      <c r="U199" s="2">
        <v>1991</v>
      </c>
      <c r="V199" s="2">
        <v>2</v>
      </c>
      <c r="W199" s="16">
        <f t="shared" si="33"/>
        <v>1169321</v>
      </c>
      <c r="X199" s="64">
        <v>1040827</v>
      </c>
      <c r="Y199" s="64">
        <v>114021</v>
      </c>
      <c r="Z199" s="23">
        <v>3112</v>
      </c>
      <c r="AA199" s="23">
        <v>2312</v>
      </c>
      <c r="AB199" s="23">
        <v>9031</v>
      </c>
      <c r="AC199" s="23">
        <v>2</v>
      </c>
      <c r="AD199" s="23">
        <v>16</v>
      </c>
      <c r="AE199" s="20">
        <f t="shared" si="26"/>
        <v>18</v>
      </c>
      <c r="AF199" s="20">
        <f t="shared" ref="AF199:AF262" si="34">SUM(X199:AB199)</f>
        <v>1169303</v>
      </c>
    </row>
    <row r="200" spans="1:32">
      <c r="A200" s="2">
        <v>1991</v>
      </c>
      <c r="B200" s="2">
        <v>3</v>
      </c>
      <c r="C200" s="16">
        <f t="shared" si="31"/>
        <v>1858502</v>
      </c>
      <c r="D200" s="17">
        <v>869493</v>
      </c>
      <c r="E200" s="17">
        <v>524892</v>
      </c>
      <c r="F200" s="18">
        <v>254841</v>
      </c>
      <c r="G200" s="18">
        <v>81779</v>
      </c>
      <c r="H200" s="19">
        <f t="shared" si="32"/>
        <v>173062</v>
      </c>
      <c r="I200" s="18">
        <v>1867</v>
      </c>
      <c r="J200" s="18">
        <v>128198</v>
      </c>
      <c r="K200" s="18">
        <v>7220</v>
      </c>
      <c r="L200" s="18">
        <v>71991</v>
      </c>
      <c r="M200" s="65">
        <v>1198669</v>
      </c>
      <c r="N200" s="20">
        <f t="shared" si="27"/>
        <v>46389</v>
      </c>
      <c r="O200" s="20">
        <f t="shared" si="28"/>
        <v>1904891</v>
      </c>
      <c r="P200" s="65">
        <v>10993</v>
      </c>
      <c r="Q200" s="20">
        <f t="shared" si="29"/>
        <v>135264</v>
      </c>
      <c r="R200" s="24">
        <v>2051148</v>
      </c>
      <c r="S200" s="25">
        <f t="shared" si="30"/>
        <v>6.5945509539048375E-2</v>
      </c>
      <c r="U200" s="2">
        <v>1991</v>
      </c>
      <c r="V200" s="2">
        <v>3</v>
      </c>
      <c r="W200" s="16">
        <f t="shared" si="33"/>
        <v>1171778</v>
      </c>
      <c r="X200" s="64">
        <v>1043366</v>
      </c>
      <c r="Y200" s="64">
        <v>113887</v>
      </c>
      <c r="Z200" s="23">
        <v>3113</v>
      </c>
      <c r="AA200" s="23">
        <v>2324</v>
      </c>
      <c r="AB200" s="23">
        <v>9071</v>
      </c>
      <c r="AC200" s="23">
        <v>2</v>
      </c>
      <c r="AD200" s="23">
        <v>15</v>
      </c>
      <c r="AE200" s="20">
        <f t="shared" si="26"/>
        <v>17</v>
      </c>
      <c r="AF200" s="20">
        <f t="shared" si="34"/>
        <v>1171761</v>
      </c>
    </row>
    <row r="201" spans="1:32">
      <c r="A201" s="2">
        <v>1991</v>
      </c>
      <c r="B201" s="2">
        <v>4</v>
      </c>
      <c r="C201" s="16">
        <f t="shared" si="31"/>
        <v>1927165</v>
      </c>
      <c r="D201" s="17">
        <v>859705</v>
      </c>
      <c r="E201" s="17">
        <v>583591</v>
      </c>
      <c r="F201" s="18">
        <v>272291</v>
      </c>
      <c r="G201" s="18">
        <v>80357</v>
      </c>
      <c r="H201" s="19">
        <f t="shared" si="32"/>
        <v>191934</v>
      </c>
      <c r="I201" s="18">
        <v>1861</v>
      </c>
      <c r="J201" s="18">
        <v>132732</v>
      </c>
      <c r="K201" s="18">
        <v>12731</v>
      </c>
      <c r="L201" s="18">
        <v>64254</v>
      </c>
      <c r="M201" s="65">
        <v>1332153</v>
      </c>
      <c r="N201" s="20">
        <f t="shared" si="27"/>
        <v>133484</v>
      </c>
      <c r="O201" s="20">
        <f t="shared" si="28"/>
        <v>2060649</v>
      </c>
      <c r="P201" s="65">
        <v>11721</v>
      </c>
      <c r="Q201" s="20">
        <f t="shared" si="29"/>
        <v>120925</v>
      </c>
      <c r="R201" s="24">
        <v>2193295</v>
      </c>
      <c r="S201" s="25">
        <f t="shared" si="30"/>
        <v>5.5133942310541903E-2</v>
      </c>
      <c r="U201" s="2">
        <v>1991</v>
      </c>
      <c r="V201" s="2">
        <v>4</v>
      </c>
      <c r="W201" s="16">
        <f t="shared" si="33"/>
        <v>1164699</v>
      </c>
      <c r="X201" s="64">
        <v>1036148</v>
      </c>
      <c r="Y201" s="64">
        <v>113982</v>
      </c>
      <c r="Z201" s="23">
        <v>3115</v>
      </c>
      <c r="AA201" s="23">
        <v>2338</v>
      </c>
      <c r="AB201" s="23">
        <v>9099</v>
      </c>
      <c r="AC201" s="23">
        <v>2</v>
      </c>
      <c r="AD201" s="23">
        <v>15</v>
      </c>
      <c r="AE201" s="20">
        <f t="shared" si="26"/>
        <v>17</v>
      </c>
      <c r="AF201" s="20">
        <f t="shared" si="34"/>
        <v>1164682</v>
      </c>
    </row>
    <row r="202" spans="1:32">
      <c r="A202" s="2">
        <v>1991</v>
      </c>
      <c r="B202" s="2">
        <v>5</v>
      </c>
      <c r="C202" s="16">
        <f t="shared" si="31"/>
        <v>2164081</v>
      </c>
      <c r="D202" s="17">
        <v>1001148</v>
      </c>
      <c r="E202" s="17">
        <v>633467</v>
      </c>
      <c r="F202" s="18">
        <v>288721</v>
      </c>
      <c r="G202" s="18">
        <v>84377</v>
      </c>
      <c r="H202" s="19">
        <f t="shared" si="32"/>
        <v>204344</v>
      </c>
      <c r="I202" s="18">
        <v>1902</v>
      </c>
      <c r="J202" s="18">
        <v>149688</v>
      </c>
      <c r="K202" s="18">
        <v>2726</v>
      </c>
      <c r="L202" s="18">
        <v>86429</v>
      </c>
      <c r="M202" s="65">
        <v>1623235</v>
      </c>
      <c r="N202" s="20">
        <f t="shared" si="27"/>
        <v>291082</v>
      </c>
      <c r="O202" s="20">
        <f t="shared" si="28"/>
        <v>2455163</v>
      </c>
      <c r="P202" s="65">
        <v>15890</v>
      </c>
      <c r="Q202" s="20">
        <f t="shared" si="29"/>
        <v>127706</v>
      </c>
      <c r="R202" s="24">
        <v>2598759</v>
      </c>
      <c r="S202" s="25">
        <f t="shared" si="30"/>
        <v>4.9141147755524847E-2</v>
      </c>
      <c r="U202" s="2">
        <v>1991</v>
      </c>
      <c r="V202" s="2">
        <v>5</v>
      </c>
      <c r="W202" s="16">
        <f t="shared" si="33"/>
        <v>1149944</v>
      </c>
      <c r="X202" s="64">
        <v>1021014</v>
      </c>
      <c r="Y202" s="64">
        <v>114314</v>
      </c>
      <c r="Z202" s="23">
        <v>3121</v>
      </c>
      <c r="AA202" s="23">
        <v>2347</v>
      </c>
      <c r="AB202" s="23">
        <v>9132</v>
      </c>
      <c r="AC202" s="23">
        <v>2</v>
      </c>
      <c r="AD202" s="23">
        <v>14</v>
      </c>
      <c r="AE202" s="20">
        <f t="shared" si="26"/>
        <v>16</v>
      </c>
      <c r="AF202" s="20">
        <f t="shared" si="34"/>
        <v>1149928</v>
      </c>
    </row>
    <row r="203" spans="1:32">
      <c r="A203" s="2">
        <v>1991</v>
      </c>
      <c r="B203" s="2">
        <v>6</v>
      </c>
      <c r="C203" s="16">
        <f t="shared" si="31"/>
        <v>2392785</v>
      </c>
      <c r="D203" s="17">
        <v>1162102</v>
      </c>
      <c r="E203" s="17">
        <v>669885</v>
      </c>
      <c r="F203" s="18">
        <v>278866</v>
      </c>
      <c r="G203" s="18">
        <v>78366</v>
      </c>
      <c r="H203" s="19">
        <f t="shared" si="32"/>
        <v>200500</v>
      </c>
      <c r="I203" s="18">
        <v>1933</v>
      </c>
      <c r="J203" s="18">
        <v>157045</v>
      </c>
      <c r="K203" s="18">
        <v>6146</v>
      </c>
      <c r="L203" s="18">
        <v>116808</v>
      </c>
      <c r="M203" s="65">
        <v>1715361</v>
      </c>
      <c r="N203" s="20">
        <f t="shared" si="27"/>
        <v>92126</v>
      </c>
      <c r="O203" s="20">
        <f t="shared" si="28"/>
        <v>2484911</v>
      </c>
      <c r="P203" s="65">
        <v>18122</v>
      </c>
      <c r="Q203" s="20">
        <f t="shared" si="29"/>
        <v>152345</v>
      </c>
      <c r="R203" s="24">
        <v>2655378</v>
      </c>
      <c r="S203" s="25">
        <f t="shared" si="30"/>
        <v>5.7372246060636185E-2</v>
      </c>
      <c r="U203" s="2">
        <v>1991</v>
      </c>
      <c r="V203" s="2">
        <v>6</v>
      </c>
      <c r="W203" s="16">
        <f t="shared" si="33"/>
        <v>1145558</v>
      </c>
      <c r="X203" s="64">
        <v>1016304</v>
      </c>
      <c r="Y203" s="64">
        <v>114639</v>
      </c>
      <c r="Z203" s="23">
        <v>3111</v>
      </c>
      <c r="AA203" s="23">
        <v>2350</v>
      </c>
      <c r="AB203" s="23">
        <v>9137</v>
      </c>
      <c r="AC203" s="23">
        <v>2</v>
      </c>
      <c r="AD203" s="23">
        <v>15</v>
      </c>
      <c r="AE203" s="20">
        <f t="shared" si="26"/>
        <v>17</v>
      </c>
      <c r="AF203" s="20">
        <f t="shared" si="34"/>
        <v>1145541</v>
      </c>
    </row>
    <row r="204" spans="1:32">
      <c r="A204" s="2">
        <v>1991</v>
      </c>
      <c r="B204" s="2">
        <v>7</v>
      </c>
      <c r="C204" s="16">
        <f t="shared" si="31"/>
        <v>2555378</v>
      </c>
      <c r="D204" s="17">
        <v>1289704</v>
      </c>
      <c r="E204" s="17">
        <v>703622</v>
      </c>
      <c r="F204" s="18">
        <v>272831</v>
      </c>
      <c r="G204" s="18">
        <v>76254</v>
      </c>
      <c r="H204" s="19">
        <f t="shared" si="32"/>
        <v>196577</v>
      </c>
      <c r="I204" s="18">
        <v>1959</v>
      </c>
      <c r="J204" s="18">
        <v>148837</v>
      </c>
      <c r="K204" s="18">
        <v>24207</v>
      </c>
      <c r="L204" s="18">
        <v>114218</v>
      </c>
      <c r="M204" s="65">
        <v>1775775</v>
      </c>
      <c r="N204" s="20">
        <f t="shared" si="27"/>
        <v>60414</v>
      </c>
      <c r="O204" s="20">
        <f t="shared" si="28"/>
        <v>2615792</v>
      </c>
      <c r="P204" s="65">
        <v>16698</v>
      </c>
      <c r="Q204" s="20">
        <f t="shared" si="29"/>
        <v>178880</v>
      </c>
      <c r="R204" s="24">
        <v>2811370</v>
      </c>
      <c r="S204" s="25">
        <f t="shared" si="30"/>
        <v>6.3627341829784051E-2</v>
      </c>
      <c r="U204" s="2">
        <v>1991</v>
      </c>
      <c r="V204" s="2">
        <v>7</v>
      </c>
      <c r="W204" s="16">
        <f t="shared" si="33"/>
        <v>1145715</v>
      </c>
      <c r="X204" s="64">
        <v>1016233</v>
      </c>
      <c r="Y204" s="64">
        <v>114844</v>
      </c>
      <c r="Z204" s="23">
        <v>3109</v>
      </c>
      <c r="AA204" s="23">
        <v>2358</v>
      </c>
      <c r="AB204" s="23">
        <v>9155</v>
      </c>
      <c r="AC204" s="23">
        <v>2</v>
      </c>
      <c r="AD204" s="23">
        <v>14</v>
      </c>
      <c r="AE204" s="20">
        <f t="shared" si="26"/>
        <v>16</v>
      </c>
      <c r="AF204" s="20">
        <f t="shared" si="34"/>
        <v>1145699</v>
      </c>
    </row>
    <row r="205" spans="1:32">
      <c r="A205" s="2">
        <v>1991</v>
      </c>
      <c r="B205" s="2">
        <v>8</v>
      </c>
      <c r="C205" s="16">
        <f t="shared" si="31"/>
        <v>2715721</v>
      </c>
      <c r="D205" s="17">
        <v>1374101</v>
      </c>
      <c r="E205" s="17">
        <v>731935</v>
      </c>
      <c r="F205" s="18">
        <v>299001</v>
      </c>
      <c r="G205" s="18">
        <v>87355</v>
      </c>
      <c r="H205" s="19">
        <f t="shared" si="32"/>
        <v>211646</v>
      </c>
      <c r="I205" s="18">
        <v>1937</v>
      </c>
      <c r="J205" s="18">
        <v>155756</v>
      </c>
      <c r="K205" s="18">
        <v>41774</v>
      </c>
      <c r="L205" s="18">
        <v>111217</v>
      </c>
      <c r="M205" s="65">
        <v>1809883</v>
      </c>
      <c r="N205" s="20">
        <f t="shared" si="27"/>
        <v>34108</v>
      </c>
      <c r="O205" s="20">
        <f t="shared" si="28"/>
        <v>2749829</v>
      </c>
      <c r="P205" s="65">
        <v>15084</v>
      </c>
      <c r="Q205" s="20">
        <f t="shared" si="29"/>
        <v>164251</v>
      </c>
      <c r="R205" s="24">
        <v>2929164</v>
      </c>
      <c r="S205" s="25">
        <f t="shared" si="30"/>
        <v>5.6074361148778284E-2</v>
      </c>
      <c r="U205" s="2">
        <v>1991</v>
      </c>
      <c r="V205" s="2">
        <v>8</v>
      </c>
      <c r="W205" s="16">
        <f t="shared" si="33"/>
        <v>1146538</v>
      </c>
      <c r="X205" s="64">
        <v>1016975</v>
      </c>
      <c r="Y205" s="64">
        <v>114843</v>
      </c>
      <c r="Z205" s="23">
        <v>3126</v>
      </c>
      <c r="AA205" s="23">
        <v>2373</v>
      </c>
      <c r="AB205" s="23">
        <v>9205</v>
      </c>
      <c r="AC205" s="23">
        <v>2</v>
      </c>
      <c r="AD205" s="23">
        <v>14</v>
      </c>
      <c r="AE205" s="20">
        <f t="shared" si="26"/>
        <v>16</v>
      </c>
      <c r="AF205" s="20">
        <f t="shared" si="34"/>
        <v>1146522</v>
      </c>
    </row>
    <row r="206" spans="1:32">
      <c r="A206" s="2">
        <v>1991</v>
      </c>
      <c r="B206" s="2">
        <v>9</v>
      </c>
      <c r="C206" s="16">
        <f t="shared" si="31"/>
        <v>2701364</v>
      </c>
      <c r="D206" s="17">
        <v>1367353</v>
      </c>
      <c r="E206" s="17">
        <v>727573</v>
      </c>
      <c r="F206" s="18">
        <v>283550</v>
      </c>
      <c r="G206" s="18">
        <v>80623</v>
      </c>
      <c r="H206" s="19">
        <f t="shared" si="32"/>
        <v>202927</v>
      </c>
      <c r="I206" s="18">
        <v>1945</v>
      </c>
      <c r="J206" s="18">
        <v>167163</v>
      </c>
      <c r="K206" s="18">
        <v>43375</v>
      </c>
      <c r="L206" s="18">
        <v>110405</v>
      </c>
      <c r="M206" s="65">
        <v>1702534</v>
      </c>
      <c r="N206" s="20">
        <f t="shared" ref="N206:N237" si="35">(M206-M205)</f>
        <v>-107349</v>
      </c>
      <c r="O206" s="20">
        <f t="shared" ref="O206:O237" si="36">(C206+N206)</f>
        <v>2594015</v>
      </c>
      <c r="P206" s="65">
        <v>14049</v>
      </c>
      <c r="Q206" s="20">
        <f t="shared" ref="Q206:Q237" si="37">(R206-O206-P206)</f>
        <v>117313</v>
      </c>
      <c r="R206" s="24">
        <v>2725377</v>
      </c>
      <c r="S206" s="25">
        <f t="shared" ref="S206:S237" si="38">(Q206/R206)</f>
        <v>4.3044687028620264E-2</v>
      </c>
      <c r="U206" s="2">
        <v>1991</v>
      </c>
      <c r="V206" s="2">
        <v>9</v>
      </c>
      <c r="W206" s="16">
        <f t="shared" si="33"/>
        <v>1149205</v>
      </c>
      <c r="X206" s="64">
        <v>1019352</v>
      </c>
      <c r="Y206" s="64">
        <v>115057</v>
      </c>
      <c r="Z206" s="23">
        <v>3128</v>
      </c>
      <c r="AA206" s="23">
        <v>2376</v>
      </c>
      <c r="AB206" s="23">
        <v>9276</v>
      </c>
      <c r="AC206" s="23">
        <v>2</v>
      </c>
      <c r="AD206" s="23">
        <v>14</v>
      </c>
      <c r="AE206" s="20">
        <f t="shared" si="26"/>
        <v>16</v>
      </c>
      <c r="AF206" s="20">
        <f t="shared" si="34"/>
        <v>1149189</v>
      </c>
    </row>
    <row r="207" spans="1:32">
      <c r="A207" s="2">
        <v>1991</v>
      </c>
      <c r="B207" s="2">
        <v>10</v>
      </c>
      <c r="C207" s="16">
        <f t="shared" si="31"/>
        <v>2382635</v>
      </c>
      <c r="D207" s="18">
        <v>1106424</v>
      </c>
      <c r="E207" s="18">
        <v>661561</v>
      </c>
      <c r="F207" s="18">
        <v>276172</v>
      </c>
      <c r="G207" s="18">
        <v>74013</v>
      </c>
      <c r="H207" s="19">
        <f t="shared" si="32"/>
        <v>202159</v>
      </c>
      <c r="I207" s="18">
        <v>1956</v>
      </c>
      <c r="J207" s="18">
        <v>161784</v>
      </c>
      <c r="K207" s="18">
        <v>58486</v>
      </c>
      <c r="L207" s="18">
        <v>116252</v>
      </c>
      <c r="M207" s="65">
        <v>1414899</v>
      </c>
      <c r="N207" s="20">
        <f t="shared" si="35"/>
        <v>-287635</v>
      </c>
      <c r="O207" s="20">
        <f t="shared" si="36"/>
        <v>2095000</v>
      </c>
      <c r="P207" s="65">
        <v>16891</v>
      </c>
      <c r="Q207" s="20">
        <f t="shared" si="37"/>
        <v>123683</v>
      </c>
      <c r="R207" s="24">
        <v>2235574</v>
      </c>
      <c r="S207" s="25">
        <f t="shared" si="38"/>
        <v>5.532494115605209E-2</v>
      </c>
      <c r="U207" s="2">
        <v>1991</v>
      </c>
      <c r="V207" s="2">
        <v>10</v>
      </c>
      <c r="W207" s="16">
        <f t="shared" si="33"/>
        <v>1155082</v>
      </c>
      <c r="X207" s="23">
        <v>1024933</v>
      </c>
      <c r="Y207" s="23">
        <v>115306</v>
      </c>
      <c r="Z207" s="23">
        <v>3146</v>
      </c>
      <c r="AA207" s="23">
        <v>2360</v>
      </c>
      <c r="AB207" s="23">
        <v>9321</v>
      </c>
      <c r="AC207" s="23">
        <v>2</v>
      </c>
      <c r="AD207" s="23">
        <v>14</v>
      </c>
      <c r="AE207" s="20">
        <f t="shared" si="26"/>
        <v>16</v>
      </c>
      <c r="AF207" s="20">
        <f t="shared" si="34"/>
        <v>1155066</v>
      </c>
    </row>
    <row r="208" spans="1:32">
      <c r="A208" s="2">
        <v>1991</v>
      </c>
      <c r="B208" s="2">
        <v>11</v>
      </c>
      <c r="C208" s="16">
        <f t="shared" si="31"/>
        <v>2019709</v>
      </c>
      <c r="D208" s="18">
        <v>863863</v>
      </c>
      <c r="E208" s="18">
        <v>590603</v>
      </c>
      <c r="F208" s="18">
        <v>279993</v>
      </c>
      <c r="G208" s="18">
        <v>85218</v>
      </c>
      <c r="H208" s="19">
        <f t="shared" si="32"/>
        <v>194775</v>
      </c>
      <c r="I208" s="18">
        <v>1964</v>
      </c>
      <c r="J208" s="18">
        <v>143228</v>
      </c>
      <c r="K208" s="18">
        <v>57318</v>
      </c>
      <c r="L208" s="18">
        <v>82740</v>
      </c>
      <c r="M208" s="65">
        <v>1319789</v>
      </c>
      <c r="N208" s="20">
        <f t="shared" si="35"/>
        <v>-95110</v>
      </c>
      <c r="O208" s="20">
        <f t="shared" si="36"/>
        <v>1924599</v>
      </c>
      <c r="P208" s="65">
        <v>20641</v>
      </c>
      <c r="Q208" s="20">
        <f t="shared" si="37"/>
        <v>100117</v>
      </c>
      <c r="R208" s="24">
        <v>2045357</v>
      </c>
      <c r="S208" s="25">
        <f t="shared" si="38"/>
        <v>4.8948423184803434E-2</v>
      </c>
      <c r="U208" s="2">
        <v>1991</v>
      </c>
      <c r="V208" s="2">
        <v>11</v>
      </c>
      <c r="W208" s="16">
        <f t="shared" si="33"/>
        <v>1168398</v>
      </c>
      <c r="X208" s="23">
        <v>1038014</v>
      </c>
      <c r="Y208" s="23">
        <v>115448</v>
      </c>
      <c r="Z208" s="23">
        <v>3142</v>
      </c>
      <c r="AA208" s="23">
        <v>2347</v>
      </c>
      <c r="AB208" s="23">
        <v>9431</v>
      </c>
      <c r="AC208" s="23">
        <v>2</v>
      </c>
      <c r="AD208" s="23">
        <v>14</v>
      </c>
      <c r="AE208" s="20">
        <f t="shared" si="26"/>
        <v>16</v>
      </c>
      <c r="AF208" s="20">
        <f t="shared" si="34"/>
        <v>1168382</v>
      </c>
    </row>
    <row r="209" spans="1:32">
      <c r="A209" s="2">
        <v>1991</v>
      </c>
      <c r="B209" s="2">
        <v>12</v>
      </c>
      <c r="C209" s="16">
        <f t="shared" si="31"/>
        <v>2029354</v>
      </c>
      <c r="D209" s="18">
        <v>945882</v>
      </c>
      <c r="E209" s="18">
        <v>572803</v>
      </c>
      <c r="F209" s="18">
        <v>275720</v>
      </c>
      <c r="G209" s="18">
        <v>80351</v>
      </c>
      <c r="H209" s="19">
        <f t="shared" si="32"/>
        <v>195369</v>
      </c>
      <c r="I209" s="18">
        <v>1975</v>
      </c>
      <c r="J209" s="18">
        <v>140898</v>
      </c>
      <c r="K209" s="18">
        <v>2197</v>
      </c>
      <c r="L209" s="18">
        <v>89879</v>
      </c>
      <c r="M209" s="65">
        <v>1284428</v>
      </c>
      <c r="N209" s="20">
        <f t="shared" si="35"/>
        <v>-35361</v>
      </c>
      <c r="O209" s="20">
        <f t="shared" si="36"/>
        <v>1993993</v>
      </c>
      <c r="P209" s="65">
        <v>18935</v>
      </c>
      <c r="Q209" s="20">
        <f t="shared" si="37"/>
        <v>128645</v>
      </c>
      <c r="R209" s="24">
        <v>2141573</v>
      </c>
      <c r="S209" s="25">
        <f t="shared" si="38"/>
        <v>6.0070331480645299E-2</v>
      </c>
      <c r="U209" s="2">
        <v>1991</v>
      </c>
      <c r="V209" s="2">
        <v>12</v>
      </c>
      <c r="W209" s="16">
        <f t="shared" si="33"/>
        <v>1179507</v>
      </c>
      <c r="X209" s="23">
        <v>1049020</v>
      </c>
      <c r="Y209" s="23">
        <v>115508</v>
      </c>
      <c r="Z209" s="23">
        <v>3146</v>
      </c>
      <c r="AA209" s="23">
        <v>2346</v>
      </c>
      <c r="AB209" s="23">
        <v>9470</v>
      </c>
      <c r="AC209" s="23">
        <v>2</v>
      </c>
      <c r="AD209" s="23">
        <v>15</v>
      </c>
      <c r="AE209" s="20">
        <f t="shared" si="26"/>
        <v>17</v>
      </c>
      <c r="AF209" s="20">
        <f t="shared" si="34"/>
        <v>1179490</v>
      </c>
    </row>
    <row r="210" spans="1:32">
      <c r="A210" s="2">
        <v>1992</v>
      </c>
      <c r="B210" s="2">
        <v>1</v>
      </c>
      <c r="C210" s="16">
        <f t="shared" si="31"/>
        <v>2121445</v>
      </c>
      <c r="D210" s="18">
        <v>1053842</v>
      </c>
      <c r="E210" s="18">
        <v>567243</v>
      </c>
      <c r="F210" s="18">
        <v>274569</v>
      </c>
      <c r="G210" s="18">
        <v>84486</v>
      </c>
      <c r="H210" s="19">
        <f t="shared" si="32"/>
        <v>190083</v>
      </c>
      <c r="I210" s="18">
        <v>1978</v>
      </c>
      <c r="J210" s="18">
        <v>131894</v>
      </c>
      <c r="K210" s="18">
        <v>9355</v>
      </c>
      <c r="L210" s="18">
        <v>82564</v>
      </c>
      <c r="M210" s="65">
        <v>1397485</v>
      </c>
      <c r="N210" s="20">
        <f t="shared" si="35"/>
        <v>113057</v>
      </c>
      <c r="O210" s="20">
        <f t="shared" si="36"/>
        <v>2234502</v>
      </c>
      <c r="P210" s="65">
        <v>17523</v>
      </c>
      <c r="Q210" s="20">
        <f t="shared" si="37"/>
        <v>130357</v>
      </c>
      <c r="R210" s="24">
        <v>2382382</v>
      </c>
      <c r="S210" s="25">
        <f t="shared" si="38"/>
        <v>5.471708567307846E-2</v>
      </c>
      <c r="U210" s="2">
        <v>1992</v>
      </c>
      <c r="V210" s="2">
        <v>1</v>
      </c>
      <c r="W210" s="16">
        <f t="shared" si="33"/>
        <v>1186923</v>
      </c>
      <c r="X210" s="23">
        <v>1056524</v>
      </c>
      <c r="Y210" s="23">
        <v>115375</v>
      </c>
      <c r="Z210" s="23">
        <v>3144</v>
      </c>
      <c r="AA210" s="23">
        <v>2346</v>
      </c>
      <c r="AB210" s="23">
        <v>9518</v>
      </c>
      <c r="AC210" s="23">
        <v>2</v>
      </c>
      <c r="AD210" s="23">
        <v>14</v>
      </c>
      <c r="AE210" s="20">
        <f t="shared" si="26"/>
        <v>16</v>
      </c>
      <c r="AF210" s="20">
        <f t="shared" si="34"/>
        <v>1186907</v>
      </c>
    </row>
    <row r="211" spans="1:32">
      <c r="A211" s="2">
        <v>1992</v>
      </c>
      <c r="B211" s="2">
        <v>2</v>
      </c>
      <c r="C211" s="16">
        <f t="shared" si="31"/>
        <v>2090248</v>
      </c>
      <c r="D211" s="18">
        <v>1074810</v>
      </c>
      <c r="E211" s="18">
        <v>526725</v>
      </c>
      <c r="F211" s="18">
        <v>263618</v>
      </c>
      <c r="G211" s="18">
        <v>81731</v>
      </c>
      <c r="H211" s="19">
        <f t="shared" si="32"/>
        <v>181887</v>
      </c>
      <c r="I211" s="18">
        <v>1967</v>
      </c>
      <c r="J211" s="18">
        <v>129036</v>
      </c>
      <c r="K211" s="18">
        <v>11797</v>
      </c>
      <c r="L211" s="18">
        <v>82295</v>
      </c>
      <c r="M211" s="65">
        <v>1176960</v>
      </c>
      <c r="N211" s="20">
        <f t="shared" si="35"/>
        <v>-220525</v>
      </c>
      <c r="O211" s="20">
        <f t="shared" si="36"/>
        <v>1869723</v>
      </c>
      <c r="P211" s="65">
        <v>18473</v>
      </c>
      <c r="Q211" s="20">
        <f t="shared" si="37"/>
        <v>108427</v>
      </c>
      <c r="R211" s="24">
        <v>1996623</v>
      </c>
      <c r="S211" s="25">
        <f t="shared" si="38"/>
        <v>5.4305194320610352E-2</v>
      </c>
      <c r="U211" s="2">
        <v>1992</v>
      </c>
      <c r="V211" s="2">
        <v>2</v>
      </c>
      <c r="W211" s="16">
        <f t="shared" si="33"/>
        <v>1191528</v>
      </c>
      <c r="X211" s="23">
        <v>1060809</v>
      </c>
      <c r="Y211" s="23">
        <v>115661</v>
      </c>
      <c r="Z211" s="23">
        <v>3144</v>
      </c>
      <c r="AA211" s="23">
        <v>2352</v>
      </c>
      <c r="AB211" s="23">
        <v>9546</v>
      </c>
      <c r="AC211" s="23">
        <v>2</v>
      </c>
      <c r="AD211" s="23">
        <v>14</v>
      </c>
      <c r="AE211" s="20">
        <f t="shared" ref="AE211:AE274" si="39">SUM(AC211:AD211)</f>
        <v>16</v>
      </c>
      <c r="AF211" s="20">
        <f t="shared" si="34"/>
        <v>1191512</v>
      </c>
    </row>
    <row r="212" spans="1:32">
      <c r="A212" s="2">
        <v>1992</v>
      </c>
      <c r="B212" s="2">
        <v>3</v>
      </c>
      <c r="C212" s="16">
        <f t="shared" si="31"/>
        <v>1869623</v>
      </c>
      <c r="D212" s="18">
        <v>838152</v>
      </c>
      <c r="E212" s="18">
        <v>533105</v>
      </c>
      <c r="F212" s="18">
        <v>258535</v>
      </c>
      <c r="G212" s="18">
        <v>76862</v>
      </c>
      <c r="H212" s="19">
        <f t="shared" si="32"/>
        <v>181673</v>
      </c>
      <c r="I212" s="18">
        <v>1951</v>
      </c>
      <c r="J212" s="18">
        <v>131243</v>
      </c>
      <c r="K212" s="18">
        <v>38397</v>
      </c>
      <c r="L212" s="18">
        <v>68240</v>
      </c>
      <c r="M212" s="65">
        <v>1224513</v>
      </c>
      <c r="N212" s="20">
        <f t="shared" si="35"/>
        <v>47553</v>
      </c>
      <c r="O212" s="20">
        <f t="shared" si="36"/>
        <v>1917176</v>
      </c>
      <c r="P212" s="65">
        <v>10140</v>
      </c>
      <c r="Q212" s="20">
        <f t="shared" si="37"/>
        <v>113254</v>
      </c>
      <c r="R212" s="24">
        <v>2040570</v>
      </c>
      <c r="S212" s="25">
        <f t="shared" si="38"/>
        <v>5.5501158989890081E-2</v>
      </c>
      <c r="U212" s="2">
        <v>1992</v>
      </c>
      <c r="V212" s="2">
        <v>3</v>
      </c>
      <c r="W212" s="16">
        <f t="shared" si="33"/>
        <v>1193157</v>
      </c>
      <c r="X212" s="23">
        <v>1062288</v>
      </c>
      <c r="Y212" s="23">
        <v>115759</v>
      </c>
      <c r="Z212" s="23">
        <v>3156</v>
      </c>
      <c r="AA212" s="23">
        <v>2361</v>
      </c>
      <c r="AB212" s="23">
        <v>9577</v>
      </c>
      <c r="AC212" s="23">
        <v>2</v>
      </c>
      <c r="AD212" s="23">
        <v>14</v>
      </c>
      <c r="AE212" s="20">
        <f t="shared" si="39"/>
        <v>16</v>
      </c>
      <c r="AF212" s="20">
        <f t="shared" si="34"/>
        <v>1193141</v>
      </c>
    </row>
    <row r="213" spans="1:32">
      <c r="A213" s="2">
        <v>1992</v>
      </c>
      <c r="B213" s="2">
        <v>4</v>
      </c>
      <c r="C213" s="16">
        <f t="shared" si="31"/>
        <v>1840771</v>
      </c>
      <c r="D213" s="18">
        <v>805577</v>
      </c>
      <c r="E213" s="18">
        <v>550310</v>
      </c>
      <c r="F213" s="18">
        <v>279192</v>
      </c>
      <c r="G213" s="18">
        <v>85207</v>
      </c>
      <c r="H213" s="19">
        <f t="shared" si="32"/>
        <v>193985</v>
      </c>
      <c r="I213" s="18">
        <v>2006</v>
      </c>
      <c r="J213" s="18">
        <v>131054</v>
      </c>
      <c r="K213" s="18">
        <v>10299</v>
      </c>
      <c r="L213" s="18">
        <v>62333</v>
      </c>
      <c r="M213" s="65">
        <v>1285654</v>
      </c>
      <c r="N213" s="20">
        <f t="shared" si="35"/>
        <v>61141</v>
      </c>
      <c r="O213" s="20">
        <f t="shared" si="36"/>
        <v>1901912</v>
      </c>
      <c r="P213" s="65">
        <v>10153</v>
      </c>
      <c r="Q213" s="20">
        <f t="shared" si="37"/>
        <v>95138</v>
      </c>
      <c r="R213" s="24">
        <v>2007203</v>
      </c>
      <c r="S213" s="25">
        <f t="shared" si="38"/>
        <v>4.7398295040411959E-2</v>
      </c>
      <c r="U213" s="2">
        <v>1992</v>
      </c>
      <c r="V213" s="2">
        <v>4</v>
      </c>
      <c r="W213" s="16">
        <f t="shared" si="33"/>
        <v>1185672</v>
      </c>
      <c r="X213" s="23">
        <v>1054466</v>
      </c>
      <c r="Y213" s="23">
        <v>116051</v>
      </c>
      <c r="Z213" s="23">
        <v>3146</v>
      </c>
      <c r="AA213" s="23">
        <v>2374</v>
      </c>
      <c r="AB213" s="23">
        <v>9618</v>
      </c>
      <c r="AC213" s="23">
        <v>2</v>
      </c>
      <c r="AD213" s="23">
        <v>15</v>
      </c>
      <c r="AE213" s="20">
        <f t="shared" si="39"/>
        <v>17</v>
      </c>
      <c r="AF213" s="20">
        <f t="shared" si="34"/>
        <v>1185655</v>
      </c>
    </row>
    <row r="214" spans="1:32">
      <c r="A214" s="2">
        <v>1992</v>
      </c>
      <c r="B214" s="2">
        <v>5</v>
      </c>
      <c r="C214" s="16">
        <f t="shared" si="31"/>
        <v>1908613</v>
      </c>
      <c r="D214" s="18">
        <v>829123</v>
      </c>
      <c r="E214" s="18">
        <v>590440</v>
      </c>
      <c r="F214" s="18">
        <v>274429</v>
      </c>
      <c r="G214" s="18">
        <v>74233</v>
      </c>
      <c r="H214" s="19">
        <f t="shared" si="32"/>
        <v>200196</v>
      </c>
      <c r="I214" s="18">
        <v>2021</v>
      </c>
      <c r="J214" s="18">
        <v>141346</v>
      </c>
      <c r="K214" s="18">
        <v>2785</v>
      </c>
      <c r="L214" s="18">
        <v>68469</v>
      </c>
      <c r="M214" s="65">
        <v>1501242</v>
      </c>
      <c r="N214" s="20">
        <f t="shared" si="35"/>
        <v>215588</v>
      </c>
      <c r="O214" s="20">
        <f t="shared" si="36"/>
        <v>2124201</v>
      </c>
      <c r="P214" s="65">
        <v>10632</v>
      </c>
      <c r="Q214" s="20">
        <f t="shared" si="37"/>
        <v>144901</v>
      </c>
      <c r="R214" s="24">
        <v>2279734</v>
      </c>
      <c r="S214" s="25">
        <f t="shared" si="38"/>
        <v>6.3560485565421224E-2</v>
      </c>
      <c r="U214" s="2">
        <v>1992</v>
      </c>
      <c r="V214" s="2">
        <v>5</v>
      </c>
      <c r="W214" s="16">
        <f t="shared" si="33"/>
        <v>1171063</v>
      </c>
      <c r="X214" s="23">
        <v>1039464</v>
      </c>
      <c r="Y214" s="23">
        <v>116429</v>
      </c>
      <c r="Z214" s="23">
        <v>3136</v>
      </c>
      <c r="AA214" s="23">
        <v>2374</v>
      </c>
      <c r="AB214" s="23">
        <v>9644</v>
      </c>
      <c r="AC214" s="23">
        <v>2</v>
      </c>
      <c r="AD214" s="23">
        <v>14</v>
      </c>
      <c r="AE214" s="20">
        <f t="shared" si="39"/>
        <v>16</v>
      </c>
      <c r="AF214" s="20">
        <f t="shared" si="34"/>
        <v>1171047</v>
      </c>
    </row>
    <row r="215" spans="1:32">
      <c r="A215" s="2">
        <v>1992</v>
      </c>
      <c r="B215" s="2">
        <v>6</v>
      </c>
      <c r="C215" s="16">
        <f t="shared" si="31"/>
        <v>2251962</v>
      </c>
      <c r="D215" s="18">
        <v>1071215</v>
      </c>
      <c r="E215" s="18">
        <v>661436</v>
      </c>
      <c r="F215" s="18">
        <v>272174</v>
      </c>
      <c r="G215" s="18">
        <v>69386</v>
      </c>
      <c r="H215" s="19">
        <f t="shared" si="32"/>
        <v>202788</v>
      </c>
      <c r="I215" s="18">
        <v>2010</v>
      </c>
      <c r="J215" s="18">
        <v>151535</v>
      </c>
      <c r="K215" s="18">
        <v>961</v>
      </c>
      <c r="L215" s="18">
        <v>92631</v>
      </c>
      <c r="M215" s="65">
        <v>1758204</v>
      </c>
      <c r="N215" s="20">
        <f t="shared" si="35"/>
        <v>256962</v>
      </c>
      <c r="O215" s="20">
        <f t="shared" si="36"/>
        <v>2508924</v>
      </c>
      <c r="P215" s="65">
        <v>16828</v>
      </c>
      <c r="Q215" s="20">
        <f t="shared" si="37"/>
        <v>203446</v>
      </c>
      <c r="R215" s="24">
        <v>2729198</v>
      </c>
      <c r="S215" s="25">
        <f t="shared" si="38"/>
        <v>7.4544243400442176E-2</v>
      </c>
      <c r="U215" s="2">
        <v>1992</v>
      </c>
      <c r="V215" s="2">
        <v>6</v>
      </c>
      <c r="W215" s="16">
        <f t="shared" si="33"/>
        <v>1167506</v>
      </c>
      <c r="X215" s="23">
        <v>1035661</v>
      </c>
      <c r="Y215" s="23">
        <v>116682</v>
      </c>
      <c r="Z215" s="23">
        <v>3117</v>
      </c>
      <c r="AA215" s="23">
        <v>2379</v>
      </c>
      <c r="AB215" s="23">
        <v>9652</v>
      </c>
      <c r="AC215" s="23">
        <v>2</v>
      </c>
      <c r="AD215" s="23">
        <v>13</v>
      </c>
      <c r="AE215" s="20">
        <f t="shared" si="39"/>
        <v>15</v>
      </c>
      <c r="AF215" s="20">
        <f t="shared" si="34"/>
        <v>1167491</v>
      </c>
    </row>
    <row r="216" spans="1:32">
      <c r="A216" s="2">
        <v>1992</v>
      </c>
      <c r="B216" s="2">
        <v>7</v>
      </c>
      <c r="C216" s="16">
        <f t="shared" si="31"/>
        <v>2691874</v>
      </c>
      <c r="D216" s="18">
        <v>1399651</v>
      </c>
      <c r="E216" s="18">
        <v>749121</v>
      </c>
      <c r="F216" s="18">
        <v>271850</v>
      </c>
      <c r="G216" s="18">
        <v>61636</v>
      </c>
      <c r="H216" s="19">
        <f t="shared" si="32"/>
        <v>210214</v>
      </c>
      <c r="I216" s="18">
        <v>2022</v>
      </c>
      <c r="J216" s="18">
        <v>157949</v>
      </c>
      <c r="K216" s="18">
        <v>6734</v>
      </c>
      <c r="L216" s="18">
        <v>104547</v>
      </c>
      <c r="M216" s="65">
        <v>2067531</v>
      </c>
      <c r="N216" s="20">
        <f t="shared" si="35"/>
        <v>309327</v>
      </c>
      <c r="O216" s="20">
        <f t="shared" si="36"/>
        <v>3001201</v>
      </c>
      <c r="P216" s="65">
        <v>23318</v>
      </c>
      <c r="Q216" s="20">
        <f t="shared" si="37"/>
        <v>183322</v>
      </c>
      <c r="R216" s="24">
        <v>3207841</v>
      </c>
      <c r="S216" s="25">
        <f t="shared" si="38"/>
        <v>5.7148094310160637E-2</v>
      </c>
      <c r="U216" s="2">
        <v>1992</v>
      </c>
      <c r="V216" s="2">
        <v>7</v>
      </c>
      <c r="W216" s="16">
        <f t="shared" si="33"/>
        <v>1168613</v>
      </c>
      <c r="X216" s="23">
        <v>1036384</v>
      </c>
      <c r="Y216" s="23">
        <v>117032</v>
      </c>
      <c r="Z216" s="23">
        <v>3138</v>
      </c>
      <c r="AA216" s="23">
        <v>2385</v>
      </c>
      <c r="AB216" s="23">
        <v>9657</v>
      </c>
      <c r="AC216" s="23">
        <v>2</v>
      </c>
      <c r="AD216" s="23">
        <v>15</v>
      </c>
      <c r="AE216" s="20">
        <f t="shared" si="39"/>
        <v>17</v>
      </c>
      <c r="AF216" s="20">
        <f t="shared" si="34"/>
        <v>1168596</v>
      </c>
    </row>
    <row r="217" spans="1:32">
      <c r="A217" s="2">
        <v>1992</v>
      </c>
      <c r="B217" s="2">
        <v>8</v>
      </c>
      <c r="C217" s="16">
        <f t="shared" si="31"/>
        <v>2826498</v>
      </c>
      <c r="D217" s="18">
        <v>1441561</v>
      </c>
      <c r="E217" s="18">
        <v>757441</v>
      </c>
      <c r="F217" s="18">
        <v>277899</v>
      </c>
      <c r="G217" s="18">
        <v>71015</v>
      </c>
      <c r="H217" s="19">
        <f t="shared" si="32"/>
        <v>206884</v>
      </c>
      <c r="I217" s="18">
        <v>2037</v>
      </c>
      <c r="J217" s="18">
        <v>160834</v>
      </c>
      <c r="K217" s="18">
        <v>55511</v>
      </c>
      <c r="L217" s="18">
        <v>131215</v>
      </c>
      <c r="M217" s="65">
        <v>1938036</v>
      </c>
      <c r="N217" s="20">
        <f t="shared" si="35"/>
        <v>-129495</v>
      </c>
      <c r="O217" s="20">
        <f t="shared" si="36"/>
        <v>2697003</v>
      </c>
      <c r="P217" s="65">
        <v>18045</v>
      </c>
      <c r="Q217" s="20">
        <f t="shared" si="37"/>
        <v>160230</v>
      </c>
      <c r="R217" s="24">
        <v>2875278</v>
      </c>
      <c r="S217" s="25">
        <f t="shared" si="38"/>
        <v>5.5726785375188069E-2</v>
      </c>
      <c r="U217" s="2">
        <v>1992</v>
      </c>
      <c r="V217" s="2">
        <v>8</v>
      </c>
      <c r="W217" s="16">
        <f t="shared" si="33"/>
        <v>1170711</v>
      </c>
      <c r="X217" s="23">
        <v>1038197</v>
      </c>
      <c r="Y217" s="23">
        <v>117293</v>
      </c>
      <c r="Z217" s="23">
        <v>3136</v>
      </c>
      <c r="AA217" s="23">
        <v>2390</v>
      </c>
      <c r="AB217" s="23">
        <v>9678</v>
      </c>
      <c r="AC217" s="23">
        <v>2</v>
      </c>
      <c r="AD217" s="23">
        <v>15</v>
      </c>
      <c r="AE217" s="20">
        <f t="shared" si="39"/>
        <v>17</v>
      </c>
      <c r="AF217" s="20">
        <f t="shared" si="34"/>
        <v>1170694</v>
      </c>
    </row>
    <row r="218" spans="1:32">
      <c r="A218" s="2">
        <v>1992</v>
      </c>
      <c r="B218" s="2">
        <v>9</v>
      </c>
      <c r="C218" s="16">
        <f t="shared" si="31"/>
        <v>2711702</v>
      </c>
      <c r="D218" s="18">
        <v>1314403</v>
      </c>
      <c r="E218" s="18">
        <v>722136</v>
      </c>
      <c r="F218" s="18">
        <v>276251</v>
      </c>
      <c r="G218" s="18">
        <v>71854</v>
      </c>
      <c r="H218" s="19">
        <f t="shared" si="32"/>
        <v>204397</v>
      </c>
      <c r="I218" s="18">
        <v>2051</v>
      </c>
      <c r="J218" s="18">
        <v>164593</v>
      </c>
      <c r="K218" s="18">
        <v>99634</v>
      </c>
      <c r="L218" s="18">
        <v>132634</v>
      </c>
      <c r="M218" s="65">
        <v>1788300</v>
      </c>
      <c r="N218" s="20">
        <f t="shared" si="35"/>
        <v>-149736</v>
      </c>
      <c r="O218" s="20">
        <f t="shared" si="36"/>
        <v>2561966</v>
      </c>
      <c r="P218" s="65">
        <v>17268</v>
      </c>
      <c r="Q218" s="20">
        <f t="shared" si="37"/>
        <v>136852</v>
      </c>
      <c r="R218" s="24">
        <v>2716086</v>
      </c>
      <c r="S218" s="25">
        <f t="shared" si="38"/>
        <v>5.0385738890447507E-2</v>
      </c>
      <c r="U218" s="2">
        <v>1992</v>
      </c>
      <c r="V218" s="2">
        <v>9</v>
      </c>
      <c r="W218" s="16">
        <f t="shared" si="33"/>
        <v>1173457</v>
      </c>
      <c r="X218" s="23">
        <v>1040641</v>
      </c>
      <c r="Y218" s="23">
        <v>117512</v>
      </c>
      <c r="Z218" s="23">
        <v>3134</v>
      </c>
      <c r="AA218" s="23">
        <v>2401</v>
      </c>
      <c r="AB218" s="23">
        <v>9752</v>
      </c>
      <c r="AC218" s="23">
        <v>2</v>
      </c>
      <c r="AD218" s="23">
        <v>15</v>
      </c>
      <c r="AE218" s="20">
        <f t="shared" si="39"/>
        <v>17</v>
      </c>
      <c r="AF218" s="20">
        <f t="shared" si="34"/>
        <v>1173440</v>
      </c>
    </row>
    <row r="219" spans="1:32">
      <c r="A219" s="2">
        <v>1992</v>
      </c>
      <c r="B219" s="2">
        <v>10</v>
      </c>
      <c r="C219" s="16">
        <f t="shared" si="31"/>
        <v>2427547</v>
      </c>
      <c r="D219" s="18">
        <v>1139143</v>
      </c>
      <c r="E219" s="18">
        <v>678283</v>
      </c>
      <c r="F219" s="18">
        <v>269777</v>
      </c>
      <c r="G219" s="18">
        <v>70399</v>
      </c>
      <c r="H219" s="19">
        <f t="shared" si="32"/>
        <v>199378</v>
      </c>
      <c r="I219" s="18">
        <v>2055</v>
      </c>
      <c r="J219" s="18">
        <v>167065</v>
      </c>
      <c r="K219" s="18">
        <v>56351</v>
      </c>
      <c r="L219" s="18">
        <v>114873</v>
      </c>
      <c r="M219" s="65">
        <v>1420857</v>
      </c>
      <c r="N219" s="20">
        <f t="shared" si="35"/>
        <v>-367443</v>
      </c>
      <c r="O219" s="20">
        <f t="shared" si="36"/>
        <v>2060104</v>
      </c>
      <c r="P219" s="65">
        <v>17670</v>
      </c>
      <c r="Q219" s="20">
        <f t="shared" si="37"/>
        <v>68969</v>
      </c>
      <c r="R219" s="24">
        <v>2146743</v>
      </c>
      <c r="S219" s="25">
        <f t="shared" si="38"/>
        <v>3.2127273735142028E-2</v>
      </c>
      <c r="U219" s="2">
        <v>1992</v>
      </c>
      <c r="V219" s="2">
        <v>10</v>
      </c>
      <c r="W219" s="16">
        <f t="shared" si="33"/>
        <v>1178958</v>
      </c>
      <c r="X219" s="23">
        <v>1046088</v>
      </c>
      <c r="Y219" s="23">
        <v>117514</v>
      </c>
      <c r="Z219" s="23">
        <v>3123</v>
      </c>
      <c r="AA219" s="23">
        <v>2404</v>
      </c>
      <c r="AB219" s="23">
        <v>9813</v>
      </c>
      <c r="AC219" s="23">
        <v>2</v>
      </c>
      <c r="AD219" s="23">
        <v>14</v>
      </c>
      <c r="AE219" s="20">
        <f t="shared" si="39"/>
        <v>16</v>
      </c>
      <c r="AF219" s="20">
        <f t="shared" si="34"/>
        <v>1178942</v>
      </c>
    </row>
    <row r="220" spans="1:32">
      <c r="A220" s="2">
        <v>1992</v>
      </c>
      <c r="B220" s="2">
        <v>11</v>
      </c>
      <c r="C220" s="16">
        <f t="shared" si="31"/>
        <v>2021856</v>
      </c>
      <c r="D220" s="18">
        <v>840685</v>
      </c>
      <c r="E220" s="18">
        <v>607484</v>
      </c>
      <c r="F220" s="18">
        <v>267515</v>
      </c>
      <c r="G220" s="18">
        <v>74096</v>
      </c>
      <c r="H220" s="19">
        <f t="shared" si="32"/>
        <v>193419</v>
      </c>
      <c r="I220" s="18">
        <v>2085</v>
      </c>
      <c r="J220" s="18">
        <v>150829</v>
      </c>
      <c r="K220" s="18">
        <v>52718</v>
      </c>
      <c r="L220" s="18">
        <v>100540</v>
      </c>
      <c r="M220" s="65">
        <v>1427568</v>
      </c>
      <c r="N220" s="20">
        <f t="shared" si="35"/>
        <v>6711</v>
      </c>
      <c r="O220" s="20">
        <f t="shared" si="36"/>
        <v>2028567</v>
      </c>
      <c r="P220" s="65">
        <v>13729</v>
      </c>
      <c r="Q220" s="20">
        <f t="shared" si="37"/>
        <v>110582</v>
      </c>
      <c r="R220" s="24">
        <v>2152878</v>
      </c>
      <c r="S220" s="25">
        <f t="shared" si="38"/>
        <v>5.1364731303863945E-2</v>
      </c>
      <c r="U220" s="2">
        <v>1992</v>
      </c>
      <c r="V220" s="2">
        <v>11</v>
      </c>
      <c r="W220" s="16">
        <f t="shared" si="33"/>
        <v>1193931</v>
      </c>
      <c r="X220" s="23">
        <v>1060256</v>
      </c>
      <c r="Y220" s="23">
        <v>117719</v>
      </c>
      <c r="Z220" s="23">
        <v>3134</v>
      </c>
      <c r="AA220" s="23">
        <v>2389</v>
      </c>
      <c r="AB220" s="23">
        <v>10416</v>
      </c>
      <c r="AC220" s="23">
        <v>2</v>
      </c>
      <c r="AD220" s="23">
        <v>15</v>
      </c>
      <c r="AE220" s="20">
        <f t="shared" si="39"/>
        <v>17</v>
      </c>
      <c r="AF220" s="20">
        <f t="shared" si="34"/>
        <v>1193914</v>
      </c>
    </row>
    <row r="221" spans="1:32">
      <c r="A221" s="2">
        <v>1992</v>
      </c>
      <c r="B221" s="2">
        <v>12</v>
      </c>
      <c r="C221" s="16">
        <f t="shared" si="31"/>
        <v>2122552</v>
      </c>
      <c r="D221" s="18">
        <v>1017651</v>
      </c>
      <c r="E221" s="18">
        <v>600360</v>
      </c>
      <c r="F221" s="18">
        <v>268657</v>
      </c>
      <c r="G221" s="18">
        <v>73890</v>
      </c>
      <c r="H221" s="19">
        <f t="shared" si="32"/>
        <v>194767</v>
      </c>
      <c r="I221" s="18">
        <v>2037</v>
      </c>
      <c r="J221" s="18">
        <v>148053</v>
      </c>
      <c r="K221" s="18">
        <v>653</v>
      </c>
      <c r="L221" s="18">
        <v>85141</v>
      </c>
      <c r="M221" s="65">
        <v>1291011</v>
      </c>
      <c r="N221" s="20">
        <f t="shared" si="35"/>
        <v>-136557</v>
      </c>
      <c r="O221" s="20">
        <f t="shared" si="36"/>
        <v>1985995</v>
      </c>
      <c r="P221" s="65">
        <v>12770</v>
      </c>
      <c r="Q221" s="20">
        <f t="shared" si="37"/>
        <v>167881</v>
      </c>
      <c r="R221" s="24">
        <v>2166646</v>
      </c>
      <c r="S221" s="25">
        <f t="shared" si="38"/>
        <v>7.7484277542339636E-2</v>
      </c>
      <c r="U221" s="2">
        <v>1992</v>
      </c>
      <c r="V221" s="2">
        <v>12</v>
      </c>
      <c r="W221" s="16">
        <f t="shared" si="33"/>
        <v>1204522</v>
      </c>
      <c r="X221" s="23">
        <v>1070143</v>
      </c>
      <c r="Y221" s="23">
        <v>117694</v>
      </c>
      <c r="Z221" s="23">
        <v>3132</v>
      </c>
      <c r="AA221" s="23">
        <v>2385</v>
      </c>
      <c r="AB221" s="23">
        <v>11151</v>
      </c>
      <c r="AC221" s="23">
        <v>2</v>
      </c>
      <c r="AD221" s="23">
        <v>15</v>
      </c>
      <c r="AE221" s="20">
        <f t="shared" si="39"/>
        <v>17</v>
      </c>
      <c r="AF221" s="20">
        <f t="shared" si="34"/>
        <v>1204505</v>
      </c>
    </row>
    <row r="222" spans="1:32">
      <c r="A222" s="2">
        <v>1993</v>
      </c>
      <c r="B222" s="2">
        <v>1</v>
      </c>
      <c r="C222" s="16">
        <f t="shared" si="31"/>
        <v>2018813</v>
      </c>
      <c r="D222" s="18">
        <v>946660</v>
      </c>
      <c r="E222" s="18">
        <v>587362</v>
      </c>
      <c r="F222" s="18">
        <v>241551</v>
      </c>
      <c r="G222" s="18">
        <v>49734</v>
      </c>
      <c r="H222" s="19">
        <f t="shared" si="32"/>
        <v>191817</v>
      </c>
      <c r="I222" s="18">
        <v>2082</v>
      </c>
      <c r="J222" s="18">
        <v>135308</v>
      </c>
      <c r="K222" s="18">
        <v>6585</v>
      </c>
      <c r="L222" s="18">
        <v>99265</v>
      </c>
      <c r="M222" s="65">
        <v>1331860</v>
      </c>
      <c r="N222" s="20">
        <f t="shared" si="35"/>
        <v>40849</v>
      </c>
      <c r="O222" s="20">
        <f t="shared" si="36"/>
        <v>2059662</v>
      </c>
      <c r="P222" s="65">
        <v>10097</v>
      </c>
      <c r="Q222" s="20">
        <f t="shared" si="37"/>
        <v>92611</v>
      </c>
      <c r="R222" s="24">
        <v>2162370</v>
      </c>
      <c r="S222" s="25">
        <f t="shared" si="38"/>
        <v>4.2828470613262302E-2</v>
      </c>
      <c r="U222" s="2">
        <v>1993</v>
      </c>
      <c r="V222" s="2">
        <v>1</v>
      </c>
      <c r="W222" s="16">
        <f t="shared" si="33"/>
        <v>1211954</v>
      </c>
      <c r="X222" s="23">
        <v>1077413</v>
      </c>
      <c r="Y222" s="23">
        <v>117673</v>
      </c>
      <c r="Z222" s="23">
        <v>3115</v>
      </c>
      <c r="AA222" s="23">
        <v>2382</v>
      </c>
      <c r="AB222" s="23">
        <v>11354</v>
      </c>
      <c r="AC222" s="23">
        <v>2</v>
      </c>
      <c r="AD222" s="23">
        <v>15</v>
      </c>
      <c r="AE222" s="20">
        <f t="shared" si="39"/>
        <v>17</v>
      </c>
      <c r="AF222" s="20">
        <f t="shared" si="34"/>
        <v>1211937</v>
      </c>
    </row>
    <row r="223" spans="1:32">
      <c r="A223" s="2">
        <v>1993</v>
      </c>
      <c r="B223" s="2">
        <v>2</v>
      </c>
      <c r="C223" s="16">
        <f t="shared" si="31"/>
        <v>1983693</v>
      </c>
      <c r="D223" s="18">
        <v>953606</v>
      </c>
      <c r="E223" s="18">
        <v>540229</v>
      </c>
      <c r="F223" s="18">
        <v>271061</v>
      </c>
      <c r="G223" s="18">
        <v>74391</v>
      </c>
      <c r="H223" s="19">
        <f t="shared" si="32"/>
        <v>196670</v>
      </c>
      <c r="I223" s="18">
        <v>2061</v>
      </c>
      <c r="J223" s="18">
        <v>133836</v>
      </c>
      <c r="K223" s="18">
        <v>13595</v>
      </c>
      <c r="L223" s="18">
        <v>69305</v>
      </c>
      <c r="M223" s="65">
        <v>1285163</v>
      </c>
      <c r="N223" s="20">
        <f t="shared" si="35"/>
        <v>-46697</v>
      </c>
      <c r="O223" s="20">
        <f t="shared" si="36"/>
        <v>1936996</v>
      </c>
      <c r="P223" s="65">
        <v>10425</v>
      </c>
      <c r="Q223" s="20">
        <f t="shared" si="37"/>
        <v>123960</v>
      </c>
      <c r="R223" s="24">
        <v>2071381</v>
      </c>
      <c r="S223" s="25">
        <f t="shared" si="38"/>
        <v>5.9844132972157224E-2</v>
      </c>
      <c r="U223" s="2">
        <v>1993</v>
      </c>
      <c r="V223" s="2">
        <v>2</v>
      </c>
      <c r="W223" s="16">
        <f t="shared" si="33"/>
        <v>1216388</v>
      </c>
      <c r="X223" s="23">
        <v>1081474</v>
      </c>
      <c r="Y223" s="23">
        <v>117913</v>
      </c>
      <c r="Z223" s="23">
        <v>3114</v>
      </c>
      <c r="AA223" s="23">
        <v>2382</v>
      </c>
      <c r="AB223" s="23">
        <v>11489</v>
      </c>
      <c r="AC223" s="23">
        <v>2</v>
      </c>
      <c r="AD223" s="23">
        <v>14</v>
      </c>
      <c r="AE223" s="20">
        <f t="shared" si="39"/>
        <v>16</v>
      </c>
      <c r="AF223" s="20">
        <f t="shared" si="34"/>
        <v>1216372</v>
      </c>
    </row>
    <row r="224" spans="1:32">
      <c r="A224" s="2">
        <v>1993</v>
      </c>
      <c r="B224" s="2">
        <v>3</v>
      </c>
      <c r="C224" s="16">
        <f t="shared" si="31"/>
        <v>2033630</v>
      </c>
      <c r="D224" s="18">
        <v>1006507</v>
      </c>
      <c r="E224" s="18">
        <v>536596</v>
      </c>
      <c r="F224" s="18">
        <v>268694</v>
      </c>
      <c r="G224" s="18">
        <v>73227</v>
      </c>
      <c r="H224" s="19">
        <f t="shared" si="32"/>
        <v>195467</v>
      </c>
      <c r="I224" s="18">
        <v>2061</v>
      </c>
      <c r="J224" s="18">
        <v>132431</v>
      </c>
      <c r="K224" s="18">
        <v>8865</v>
      </c>
      <c r="L224" s="18">
        <v>78476</v>
      </c>
      <c r="M224" s="65">
        <v>1369680</v>
      </c>
      <c r="N224" s="20">
        <f t="shared" si="35"/>
        <v>84517</v>
      </c>
      <c r="O224" s="20">
        <f t="shared" si="36"/>
        <v>2118147</v>
      </c>
      <c r="P224" s="65">
        <v>11610</v>
      </c>
      <c r="Q224" s="20">
        <f t="shared" si="37"/>
        <v>108901</v>
      </c>
      <c r="R224" s="24">
        <v>2238658</v>
      </c>
      <c r="S224" s="25">
        <f t="shared" si="38"/>
        <v>4.8645661820608595E-2</v>
      </c>
      <c r="U224" s="2">
        <v>1993</v>
      </c>
      <c r="V224" s="2">
        <v>3</v>
      </c>
      <c r="W224" s="16">
        <f t="shared" si="33"/>
        <v>1218547</v>
      </c>
      <c r="X224" s="23">
        <v>1083308</v>
      </c>
      <c r="Y224" s="23">
        <v>118212</v>
      </c>
      <c r="Z224" s="23">
        <v>3114</v>
      </c>
      <c r="AA224" s="23">
        <v>2386</v>
      </c>
      <c r="AB224" s="23">
        <v>11511</v>
      </c>
      <c r="AC224" s="23">
        <v>2</v>
      </c>
      <c r="AD224" s="23">
        <v>14</v>
      </c>
      <c r="AE224" s="20">
        <f t="shared" si="39"/>
        <v>16</v>
      </c>
      <c r="AF224" s="20">
        <f t="shared" si="34"/>
        <v>1218531</v>
      </c>
    </row>
    <row r="225" spans="1:32">
      <c r="A225" s="2">
        <v>1993</v>
      </c>
      <c r="B225" s="2">
        <v>4</v>
      </c>
      <c r="C225" s="16">
        <f t="shared" si="31"/>
        <v>1965494</v>
      </c>
      <c r="D225" s="18">
        <v>882436</v>
      </c>
      <c r="E225" s="18">
        <v>574646</v>
      </c>
      <c r="F225" s="18">
        <v>282874</v>
      </c>
      <c r="G225" s="18">
        <v>81873</v>
      </c>
      <c r="H225" s="19">
        <f t="shared" si="32"/>
        <v>201001</v>
      </c>
      <c r="I225" s="18">
        <v>2080</v>
      </c>
      <c r="J225" s="18">
        <v>138088</v>
      </c>
      <c r="K225" s="18">
        <v>16634</v>
      </c>
      <c r="L225" s="18">
        <v>68736</v>
      </c>
      <c r="M225" s="65">
        <v>1240511</v>
      </c>
      <c r="N225" s="20">
        <f t="shared" si="35"/>
        <v>-129169</v>
      </c>
      <c r="O225" s="20">
        <f t="shared" si="36"/>
        <v>1836325</v>
      </c>
      <c r="P225" s="65">
        <v>18350</v>
      </c>
      <c r="Q225" s="20">
        <f t="shared" si="37"/>
        <v>107648</v>
      </c>
      <c r="R225" s="24">
        <v>1962323</v>
      </c>
      <c r="S225" s="25">
        <f t="shared" si="38"/>
        <v>5.4857431727600402E-2</v>
      </c>
      <c r="U225" s="2">
        <v>1993</v>
      </c>
      <c r="V225" s="2">
        <v>4</v>
      </c>
      <c r="W225" s="16">
        <f t="shared" si="33"/>
        <v>1220652</v>
      </c>
      <c r="X225" s="23">
        <v>1084089</v>
      </c>
      <c r="Y225" s="23">
        <v>119362</v>
      </c>
      <c r="Z225" s="23">
        <v>3102</v>
      </c>
      <c r="AA225" s="23">
        <v>2387</v>
      </c>
      <c r="AB225" s="23">
        <v>11696</v>
      </c>
      <c r="AC225" s="23">
        <v>2</v>
      </c>
      <c r="AD225" s="23">
        <v>14</v>
      </c>
      <c r="AE225" s="20">
        <f t="shared" si="39"/>
        <v>16</v>
      </c>
      <c r="AF225" s="20">
        <f t="shared" si="34"/>
        <v>1220636</v>
      </c>
    </row>
    <row r="226" spans="1:32">
      <c r="A226" s="2">
        <v>1993</v>
      </c>
      <c r="B226" s="2">
        <v>5</v>
      </c>
      <c r="C226" s="16">
        <f t="shared" si="31"/>
        <v>2002117</v>
      </c>
      <c r="D226" s="18">
        <v>835372</v>
      </c>
      <c r="E226" s="18">
        <v>605560</v>
      </c>
      <c r="F226" s="18">
        <v>299119</v>
      </c>
      <c r="G226" s="18">
        <v>82930</v>
      </c>
      <c r="H226" s="19">
        <f t="shared" si="32"/>
        <v>216189</v>
      </c>
      <c r="I226" s="18">
        <v>2076</v>
      </c>
      <c r="J226" s="18">
        <v>147133</v>
      </c>
      <c r="K226" s="18">
        <v>14998</v>
      </c>
      <c r="L226" s="18">
        <v>97859</v>
      </c>
      <c r="M226" s="65">
        <v>1558170</v>
      </c>
      <c r="N226" s="20">
        <f t="shared" si="35"/>
        <v>317659</v>
      </c>
      <c r="O226" s="20">
        <f t="shared" si="36"/>
        <v>2319776</v>
      </c>
      <c r="P226" s="65">
        <v>12470</v>
      </c>
      <c r="Q226" s="20">
        <f t="shared" si="37"/>
        <v>111979</v>
      </c>
      <c r="R226" s="24">
        <v>2444225</v>
      </c>
      <c r="S226" s="25">
        <f t="shared" si="38"/>
        <v>4.5813703730221235E-2</v>
      </c>
      <c r="U226" s="2">
        <v>1993</v>
      </c>
      <c r="V226" s="2">
        <v>5</v>
      </c>
      <c r="W226" s="16">
        <f t="shared" si="33"/>
        <v>1206518</v>
      </c>
      <c r="X226" s="23">
        <v>1069568</v>
      </c>
      <c r="Y226" s="23">
        <v>119805</v>
      </c>
      <c r="Z226" s="23">
        <v>3110</v>
      </c>
      <c r="AA226" s="23">
        <v>2380</v>
      </c>
      <c r="AB226" s="23">
        <v>11639</v>
      </c>
      <c r="AC226" s="23">
        <v>2</v>
      </c>
      <c r="AD226" s="23">
        <v>14</v>
      </c>
      <c r="AE226" s="20">
        <f t="shared" si="39"/>
        <v>16</v>
      </c>
      <c r="AF226" s="20">
        <f t="shared" si="34"/>
        <v>1206502</v>
      </c>
    </row>
    <row r="227" spans="1:32">
      <c r="A227" s="2">
        <v>1993</v>
      </c>
      <c r="B227" s="2">
        <v>6</v>
      </c>
      <c r="C227" s="16">
        <f t="shared" si="31"/>
        <v>2396947</v>
      </c>
      <c r="D227" s="18">
        <v>1137298</v>
      </c>
      <c r="E227" s="18">
        <v>702618</v>
      </c>
      <c r="F227" s="18">
        <v>297012</v>
      </c>
      <c r="G227" s="18">
        <v>74509</v>
      </c>
      <c r="H227" s="19">
        <f t="shared" si="32"/>
        <v>222503</v>
      </c>
      <c r="I227" s="18">
        <v>2097</v>
      </c>
      <c r="J227" s="18">
        <v>165295</v>
      </c>
      <c r="K227" s="18">
        <v>381</v>
      </c>
      <c r="L227" s="18">
        <v>92246</v>
      </c>
      <c r="M227" s="65">
        <v>1893955</v>
      </c>
      <c r="N227" s="20">
        <f t="shared" si="35"/>
        <v>335785</v>
      </c>
      <c r="O227" s="20">
        <f t="shared" si="36"/>
        <v>2732732</v>
      </c>
      <c r="P227" s="65">
        <v>11077</v>
      </c>
      <c r="Q227" s="20">
        <f t="shared" si="37"/>
        <v>203484</v>
      </c>
      <c r="R227" s="24">
        <v>2947293</v>
      </c>
      <c r="S227" s="25">
        <f t="shared" si="38"/>
        <v>6.904098099510296E-2</v>
      </c>
      <c r="U227" s="2">
        <v>1993</v>
      </c>
      <c r="V227" s="2">
        <v>6</v>
      </c>
      <c r="W227" s="16">
        <f t="shared" si="33"/>
        <v>1202651</v>
      </c>
      <c r="X227" s="23">
        <v>1065137</v>
      </c>
      <c r="Y227" s="23">
        <v>119990</v>
      </c>
      <c r="Z227" s="23">
        <v>3093</v>
      </c>
      <c r="AA227" s="23">
        <v>2399</v>
      </c>
      <c r="AB227" s="23">
        <v>12017</v>
      </c>
      <c r="AC227" s="23">
        <v>2</v>
      </c>
      <c r="AD227" s="23">
        <v>13</v>
      </c>
      <c r="AE227" s="20">
        <f t="shared" si="39"/>
        <v>15</v>
      </c>
      <c r="AF227" s="20">
        <f t="shared" si="34"/>
        <v>1202636</v>
      </c>
    </row>
    <row r="228" spans="1:32">
      <c r="A228" s="2">
        <v>1993</v>
      </c>
      <c r="B228" s="2">
        <v>7</v>
      </c>
      <c r="C228" s="16">
        <f t="shared" si="31"/>
        <v>2703933</v>
      </c>
      <c r="D228" s="18">
        <v>1378676</v>
      </c>
      <c r="E228" s="18">
        <v>752628</v>
      </c>
      <c r="F228" s="18">
        <v>286731</v>
      </c>
      <c r="G228" s="18">
        <v>67860</v>
      </c>
      <c r="H228" s="19">
        <f t="shared" si="32"/>
        <v>218871</v>
      </c>
      <c r="I228" s="18">
        <v>2136</v>
      </c>
      <c r="J228" s="18">
        <v>162113</v>
      </c>
      <c r="K228" s="18">
        <v>9325</v>
      </c>
      <c r="L228" s="18">
        <v>112324</v>
      </c>
      <c r="M228" s="65">
        <v>2170141</v>
      </c>
      <c r="N228" s="20">
        <f t="shared" si="35"/>
        <v>276186</v>
      </c>
      <c r="O228" s="20">
        <f t="shared" si="36"/>
        <v>2980119</v>
      </c>
      <c r="P228" s="65">
        <v>18097</v>
      </c>
      <c r="Q228" s="20">
        <f t="shared" si="37"/>
        <v>213359</v>
      </c>
      <c r="R228" s="24">
        <v>3211575</v>
      </c>
      <c r="S228" s="25">
        <f t="shared" si="38"/>
        <v>6.6434381884277957E-2</v>
      </c>
      <c r="U228" s="2">
        <v>1993</v>
      </c>
      <c r="V228" s="2">
        <v>7</v>
      </c>
      <c r="W228" s="16">
        <f t="shared" si="33"/>
        <v>1202924</v>
      </c>
      <c r="X228" s="23">
        <v>1064997</v>
      </c>
      <c r="Y228" s="23">
        <v>120182</v>
      </c>
      <c r="Z228" s="23">
        <v>3098</v>
      </c>
      <c r="AA228" s="23">
        <v>2406</v>
      </c>
      <c r="AB228" s="23">
        <v>12225</v>
      </c>
      <c r="AC228" s="23">
        <v>2</v>
      </c>
      <c r="AD228" s="23">
        <v>14</v>
      </c>
      <c r="AE228" s="20">
        <f t="shared" si="39"/>
        <v>16</v>
      </c>
      <c r="AF228" s="20">
        <f t="shared" si="34"/>
        <v>1202908</v>
      </c>
    </row>
    <row r="229" spans="1:32">
      <c r="A229" s="2">
        <v>1993</v>
      </c>
      <c r="B229" s="2">
        <v>8</v>
      </c>
      <c r="C229" s="16">
        <f t="shared" si="31"/>
        <v>3089048</v>
      </c>
      <c r="D229" s="18">
        <v>1593286</v>
      </c>
      <c r="E229" s="18">
        <v>811379</v>
      </c>
      <c r="F229" s="18">
        <v>289429</v>
      </c>
      <c r="G229" s="18">
        <v>72296</v>
      </c>
      <c r="H229" s="19">
        <f t="shared" si="32"/>
        <v>217133</v>
      </c>
      <c r="I229" s="18">
        <v>2111</v>
      </c>
      <c r="J229" s="18">
        <v>176127</v>
      </c>
      <c r="K229" s="18">
        <v>73444</v>
      </c>
      <c r="L229" s="18">
        <v>143272</v>
      </c>
      <c r="M229" s="65">
        <v>2152634</v>
      </c>
      <c r="N229" s="20">
        <f t="shared" si="35"/>
        <v>-17507</v>
      </c>
      <c r="O229" s="20">
        <f t="shared" si="36"/>
        <v>3071541</v>
      </c>
      <c r="P229" s="65">
        <v>20435</v>
      </c>
      <c r="Q229" s="20">
        <f t="shared" si="37"/>
        <v>165178</v>
      </c>
      <c r="R229" s="24">
        <v>3257154</v>
      </c>
      <c r="S229" s="25">
        <f t="shared" si="38"/>
        <v>5.0712370369961013E-2</v>
      </c>
      <c r="U229" s="2">
        <v>1993</v>
      </c>
      <c r="V229" s="2">
        <v>8</v>
      </c>
      <c r="W229" s="16">
        <f t="shared" si="33"/>
        <v>1205328</v>
      </c>
      <c r="X229" s="23">
        <v>1066628</v>
      </c>
      <c r="Y229" s="23">
        <v>120365</v>
      </c>
      <c r="Z229" s="23">
        <v>3110</v>
      </c>
      <c r="AA229" s="23">
        <v>2405</v>
      </c>
      <c r="AB229" s="23">
        <v>12804</v>
      </c>
      <c r="AC229" s="23">
        <v>2</v>
      </c>
      <c r="AD229" s="23">
        <v>14</v>
      </c>
      <c r="AE229" s="20">
        <f t="shared" si="39"/>
        <v>16</v>
      </c>
      <c r="AF229" s="20">
        <f t="shared" si="34"/>
        <v>1205312</v>
      </c>
    </row>
    <row r="230" spans="1:32">
      <c r="A230" s="2">
        <v>1993</v>
      </c>
      <c r="B230" s="2">
        <v>9</v>
      </c>
      <c r="C230" s="16">
        <f t="shared" si="31"/>
        <v>2952325</v>
      </c>
      <c r="D230" s="18">
        <v>1442434</v>
      </c>
      <c r="E230" s="18">
        <v>778621</v>
      </c>
      <c r="F230" s="18">
        <v>297681</v>
      </c>
      <c r="G230" s="18">
        <v>73226</v>
      </c>
      <c r="H230" s="19">
        <f t="shared" si="32"/>
        <v>224455</v>
      </c>
      <c r="I230" s="18">
        <v>2125</v>
      </c>
      <c r="J230" s="18">
        <v>181659</v>
      </c>
      <c r="K230" s="18">
        <v>101956</v>
      </c>
      <c r="L230" s="18">
        <v>147849</v>
      </c>
      <c r="M230" s="65">
        <v>2008367</v>
      </c>
      <c r="N230" s="20">
        <f t="shared" si="35"/>
        <v>-144267</v>
      </c>
      <c r="O230" s="20">
        <f t="shared" si="36"/>
        <v>2808058</v>
      </c>
      <c r="P230" s="65">
        <v>20867</v>
      </c>
      <c r="Q230" s="20">
        <f t="shared" si="37"/>
        <v>115098</v>
      </c>
      <c r="R230" s="24">
        <v>2944023</v>
      </c>
      <c r="S230" s="25">
        <f t="shared" si="38"/>
        <v>3.9095482610020368E-2</v>
      </c>
      <c r="U230" s="2">
        <v>1993</v>
      </c>
      <c r="V230" s="2">
        <v>9</v>
      </c>
      <c r="W230" s="16">
        <f t="shared" si="33"/>
        <v>1209445</v>
      </c>
      <c r="X230" s="23">
        <v>1069084</v>
      </c>
      <c r="Y230" s="23">
        <v>120809</v>
      </c>
      <c r="Z230" s="23">
        <v>3105</v>
      </c>
      <c r="AA230" s="23">
        <v>2408</v>
      </c>
      <c r="AB230" s="23">
        <v>14023</v>
      </c>
      <c r="AC230" s="23">
        <v>2</v>
      </c>
      <c r="AD230" s="23">
        <v>14</v>
      </c>
      <c r="AE230" s="20">
        <f t="shared" si="39"/>
        <v>16</v>
      </c>
      <c r="AF230" s="20">
        <f t="shared" si="34"/>
        <v>1209429</v>
      </c>
    </row>
    <row r="231" spans="1:32">
      <c r="A231" s="2">
        <v>1993</v>
      </c>
      <c r="B231" s="2">
        <v>10</v>
      </c>
      <c r="C231" s="16">
        <f t="shared" si="31"/>
        <v>2665385</v>
      </c>
      <c r="D231" s="18">
        <v>1233266</v>
      </c>
      <c r="E231" s="18">
        <v>718655</v>
      </c>
      <c r="F231" s="18">
        <v>281630</v>
      </c>
      <c r="G231" s="18">
        <v>72399</v>
      </c>
      <c r="H231" s="19">
        <f t="shared" si="32"/>
        <v>209231</v>
      </c>
      <c r="I231" s="18">
        <v>2173</v>
      </c>
      <c r="J231" s="18">
        <v>179213</v>
      </c>
      <c r="K231" s="18">
        <v>109208</v>
      </c>
      <c r="L231" s="18">
        <v>141240</v>
      </c>
      <c r="M231" s="65">
        <v>1637727</v>
      </c>
      <c r="N231" s="20">
        <f t="shared" si="35"/>
        <v>-370640</v>
      </c>
      <c r="O231" s="20">
        <f t="shared" si="36"/>
        <v>2294745</v>
      </c>
      <c r="P231" s="65">
        <v>21610</v>
      </c>
      <c r="Q231" s="20">
        <f t="shared" si="37"/>
        <v>96430</v>
      </c>
      <c r="R231" s="24">
        <v>2412785</v>
      </c>
      <c r="S231" s="25">
        <f t="shared" si="38"/>
        <v>3.9966263052862147E-2</v>
      </c>
      <c r="U231" s="2">
        <v>1993</v>
      </c>
      <c r="V231" s="2">
        <v>10</v>
      </c>
      <c r="W231" s="16">
        <f t="shared" si="33"/>
        <v>1216004</v>
      </c>
      <c r="X231" s="23">
        <v>1074873</v>
      </c>
      <c r="Y231" s="23">
        <v>121191</v>
      </c>
      <c r="Z231" s="23">
        <v>3108</v>
      </c>
      <c r="AA231" s="23">
        <v>2408</v>
      </c>
      <c r="AB231" s="23">
        <v>14408</v>
      </c>
      <c r="AC231" s="23">
        <v>2</v>
      </c>
      <c r="AD231" s="23">
        <v>14</v>
      </c>
      <c r="AE231" s="20">
        <f t="shared" si="39"/>
        <v>16</v>
      </c>
      <c r="AF231" s="20">
        <f t="shared" si="34"/>
        <v>1215988</v>
      </c>
    </row>
    <row r="232" spans="1:32">
      <c r="A232" s="2">
        <v>1993</v>
      </c>
      <c r="B232" s="2">
        <v>11</v>
      </c>
      <c r="C232" s="16">
        <f t="shared" si="31"/>
        <v>2241034</v>
      </c>
      <c r="D232" s="18">
        <v>962542</v>
      </c>
      <c r="E232" s="18">
        <v>641283</v>
      </c>
      <c r="F232" s="18">
        <v>277521</v>
      </c>
      <c r="G232" s="17">
        <v>75487</v>
      </c>
      <c r="H232" s="19">
        <f t="shared" si="32"/>
        <v>202034</v>
      </c>
      <c r="I232" s="18">
        <v>2121</v>
      </c>
      <c r="J232" s="18">
        <v>159531</v>
      </c>
      <c r="K232" s="18">
        <v>73492</v>
      </c>
      <c r="L232" s="18">
        <v>124544</v>
      </c>
      <c r="M232" s="65">
        <v>1401936</v>
      </c>
      <c r="N232" s="20">
        <f t="shared" si="35"/>
        <v>-235791</v>
      </c>
      <c r="O232" s="20">
        <f t="shared" si="36"/>
        <v>2005243</v>
      </c>
      <c r="P232" s="65">
        <v>14543</v>
      </c>
      <c r="Q232" s="20">
        <f t="shared" si="37"/>
        <v>111856</v>
      </c>
      <c r="R232" s="24">
        <v>2131642</v>
      </c>
      <c r="S232" s="25">
        <f t="shared" si="38"/>
        <v>5.2474102124090254E-2</v>
      </c>
      <c r="U232" s="2">
        <v>1993</v>
      </c>
      <c r="V232" s="2">
        <v>11</v>
      </c>
      <c r="W232" s="16">
        <f t="shared" si="33"/>
        <v>1222892</v>
      </c>
      <c r="X232" s="23">
        <v>1082235</v>
      </c>
      <c r="Y232" s="23">
        <v>120762</v>
      </c>
      <c r="Z232" s="23">
        <v>3116</v>
      </c>
      <c r="AA232" s="23">
        <v>2389</v>
      </c>
      <c r="AB232" s="23">
        <v>14374</v>
      </c>
      <c r="AC232" s="23">
        <v>2</v>
      </c>
      <c r="AD232" s="23">
        <v>14</v>
      </c>
      <c r="AE232" s="20">
        <f t="shared" si="39"/>
        <v>16</v>
      </c>
      <c r="AF232" s="20">
        <f t="shared" si="34"/>
        <v>1222876</v>
      </c>
    </row>
    <row r="233" spans="1:32">
      <c r="A233" s="2">
        <v>1993</v>
      </c>
      <c r="B233" s="2">
        <v>12</v>
      </c>
      <c r="C233" s="16">
        <f t="shared" si="31"/>
        <v>2170709</v>
      </c>
      <c r="D233" s="18">
        <v>1000502</v>
      </c>
      <c r="E233" s="18">
        <v>635171</v>
      </c>
      <c r="F233" s="18">
        <v>287496</v>
      </c>
      <c r="G233" s="17">
        <v>82043</v>
      </c>
      <c r="H233" s="19">
        <f t="shared" si="32"/>
        <v>205453</v>
      </c>
      <c r="I233" s="18">
        <v>2171</v>
      </c>
      <c r="J233" s="18">
        <v>154099</v>
      </c>
      <c r="K233" s="18">
        <v>9040</v>
      </c>
      <c r="L233" s="18">
        <v>82230</v>
      </c>
      <c r="M233" s="65">
        <v>1573131</v>
      </c>
      <c r="N233" s="20">
        <f t="shared" si="35"/>
        <v>171195</v>
      </c>
      <c r="O233" s="20">
        <f t="shared" si="36"/>
        <v>2341904</v>
      </c>
      <c r="P233" s="65">
        <v>15012</v>
      </c>
      <c r="Q233" s="20">
        <f t="shared" si="37"/>
        <v>103528</v>
      </c>
      <c r="R233" s="24">
        <v>2460444</v>
      </c>
      <c r="S233" s="25">
        <f t="shared" si="38"/>
        <v>4.207695846765868E-2</v>
      </c>
      <c r="T233" s="60">
        <v>1416844</v>
      </c>
      <c r="U233" s="2">
        <v>1993</v>
      </c>
      <c r="V233" s="2">
        <v>12</v>
      </c>
      <c r="W233" s="16">
        <f t="shared" si="33"/>
        <v>1242529</v>
      </c>
      <c r="X233" s="23">
        <v>1101076</v>
      </c>
      <c r="Y233" s="23">
        <v>121473</v>
      </c>
      <c r="Z233" s="23">
        <v>3103</v>
      </c>
      <c r="AA233" s="23">
        <v>2397</v>
      </c>
      <c r="AB233" s="23">
        <v>14464</v>
      </c>
      <c r="AC233" s="23">
        <v>2</v>
      </c>
      <c r="AD233" s="23">
        <v>14</v>
      </c>
      <c r="AE233" s="20">
        <f t="shared" si="39"/>
        <v>16</v>
      </c>
      <c r="AF233" s="20">
        <f t="shared" si="34"/>
        <v>1242513</v>
      </c>
    </row>
    <row r="234" spans="1:32">
      <c r="A234" s="2">
        <v>1994</v>
      </c>
      <c r="B234" s="2">
        <v>1</v>
      </c>
      <c r="C234" s="16">
        <f t="shared" si="31"/>
        <v>2338559</v>
      </c>
      <c r="D234" s="18">
        <v>1265529</v>
      </c>
      <c r="E234" s="18">
        <v>570422</v>
      </c>
      <c r="F234" s="18">
        <v>273630</v>
      </c>
      <c r="G234" s="17">
        <v>85048</v>
      </c>
      <c r="H234" s="19">
        <f t="shared" si="32"/>
        <v>188582</v>
      </c>
      <c r="I234" s="18">
        <v>2158</v>
      </c>
      <c r="J234" s="18">
        <v>136917</v>
      </c>
      <c r="K234" s="18">
        <v>7711</v>
      </c>
      <c r="L234" s="18">
        <v>82192</v>
      </c>
      <c r="M234" s="65">
        <v>1612734</v>
      </c>
      <c r="N234" s="20">
        <f t="shared" si="35"/>
        <v>39603</v>
      </c>
      <c r="O234" s="20">
        <f t="shared" si="36"/>
        <v>2378162</v>
      </c>
      <c r="P234" s="65">
        <v>11151</v>
      </c>
      <c r="Q234" s="20">
        <f t="shared" si="37"/>
        <v>130122</v>
      </c>
      <c r="R234" s="24">
        <v>2519435</v>
      </c>
      <c r="S234" s="25">
        <f t="shared" si="38"/>
        <v>5.164729393693427E-2</v>
      </c>
      <c r="T234" s="60">
        <v>1406630</v>
      </c>
      <c r="U234" s="2">
        <v>1994</v>
      </c>
      <c r="V234" s="2">
        <v>1</v>
      </c>
      <c r="W234" s="16">
        <f t="shared" si="33"/>
        <v>1249944</v>
      </c>
      <c r="X234" s="23">
        <v>1108425</v>
      </c>
      <c r="Y234" s="23">
        <v>121501</v>
      </c>
      <c r="Z234" s="23">
        <v>3102</v>
      </c>
      <c r="AA234" s="23">
        <v>2385</v>
      </c>
      <c r="AB234" s="23">
        <v>14515</v>
      </c>
      <c r="AC234" s="23">
        <v>2</v>
      </c>
      <c r="AD234" s="23">
        <v>14</v>
      </c>
      <c r="AE234" s="20">
        <f t="shared" si="39"/>
        <v>16</v>
      </c>
      <c r="AF234" s="20">
        <f t="shared" si="34"/>
        <v>1249928</v>
      </c>
    </row>
    <row r="235" spans="1:32">
      <c r="A235" s="2">
        <v>1994</v>
      </c>
      <c r="B235" s="2">
        <v>2</v>
      </c>
      <c r="C235" s="16">
        <f t="shared" si="31"/>
        <v>2194727</v>
      </c>
      <c r="D235" s="18">
        <v>1086708</v>
      </c>
      <c r="E235" s="18">
        <v>567731</v>
      </c>
      <c r="F235" s="18">
        <v>284319</v>
      </c>
      <c r="G235" s="18">
        <v>84981</v>
      </c>
      <c r="H235" s="19">
        <f t="shared" si="32"/>
        <v>199338</v>
      </c>
      <c r="I235" s="18">
        <v>2114</v>
      </c>
      <c r="J235" s="18">
        <v>139502</v>
      </c>
      <c r="K235" s="18">
        <v>23881</v>
      </c>
      <c r="L235" s="18">
        <v>90472</v>
      </c>
      <c r="M235" s="65">
        <v>1353066</v>
      </c>
      <c r="N235" s="20">
        <f t="shared" si="35"/>
        <v>-259668</v>
      </c>
      <c r="O235" s="20">
        <f t="shared" si="36"/>
        <v>1935059</v>
      </c>
      <c r="P235" s="65">
        <v>10563</v>
      </c>
      <c r="Q235" s="20">
        <f t="shared" si="37"/>
        <v>131469</v>
      </c>
      <c r="R235" s="24">
        <v>2077091</v>
      </c>
      <c r="S235" s="25">
        <f t="shared" si="38"/>
        <v>6.3294771389409518E-2</v>
      </c>
      <c r="T235" s="60">
        <v>1191887</v>
      </c>
      <c r="U235" s="2">
        <v>1994</v>
      </c>
      <c r="V235" s="2">
        <v>2</v>
      </c>
      <c r="W235" s="16">
        <f t="shared" si="33"/>
        <v>1254868</v>
      </c>
      <c r="X235" s="23">
        <v>1113012</v>
      </c>
      <c r="Y235" s="23">
        <v>121782</v>
      </c>
      <c r="Z235" s="23">
        <v>3112</v>
      </c>
      <c r="AA235" s="23">
        <v>2401</v>
      </c>
      <c r="AB235" s="23">
        <v>14546</v>
      </c>
      <c r="AC235" s="23">
        <v>2</v>
      </c>
      <c r="AD235" s="23">
        <v>13</v>
      </c>
      <c r="AE235" s="20">
        <f t="shared" si="39"/>
        <v>15</v>
      </c>
      <c r="AF235" s="20">
        <f t="shared" si="34"/>
        <v>1254853</v>
      </c>
    </row>
    <row r="236" spans="1:32">
      <c r="A236" s="2">
        <v>1994</v>
      </c>
      <c r="B236" s="2">
        <v>3</v>
      </c>
      <c r="C236" s="16">
        <f t="shared" si="31"/>
        <v>2043371</v>
      </c>
      <c r="D236" s="18">
        <v>885469</v>
      </c>
      <c r="E236" s="18">
        <v>585523</v>
      </c>
      <c r="F236" s="18">
        <v>272251</v>
      </c>
      <c r="G236" s="17">
        <v>78024</v>
      </c>
      <c r="H236" s="19">
        <f t="shared" si="32"/>
        <v>194227</v>
      </c>
      <c r="I236" s="18">
        <v>2166</v>
      </c>
      <c r="J236" s="18">
        <v>143394</v>
      </c>
      <c r="K236" s="18">
        <v>71264</v>
      </c>
      <c r="L236" s="18">
        <v>83304</v>
      </c>
      <c r="M236" s="65">
        <v>1508113</v>
      </c>
      <c r="N236" s="20">
        <f t="shared" si="35"/>
        <v>155047</v>
      </c>
      <c r="O236" s="20">
        <f t="shared" si="36"/>
        <v>2198418</v>
      </c>
      <c r="P236" s="65">
        <v>13893</v>
      </c>
      <c r="Q236" s="20">
        <f t="shared" si="37"/>
        <v>88651</v>
      </c>
      <c r="R236" s="24">
        <v>2300962</v>
      </c>
      <c r="S236" s="25">
        <f t="shared" si="38"/>
        <v>3.8527798373028325E-2</v>
      </c>
      <c r="T236" s="60">
        <v>1365627</v>
      </c>
      <c r="U236" s="2">
        <v>1994</v>
      </c>
      <c r="V236" s="2">
        <v>3</v>
      </c>
      <c r="W236" s="16">
        <f t="shared" si="33"/>
        <v>1257561</v>
      </c>
      <c r="X236" s="23">
        <v>1115225</v>
      </c>
      <c r="Y236" s="23">
        <v>122229</v>
      </c>
      <c r="Z236" s="23">
        <v>3144</v>
      </c>
      <c r="AA236" s="23">
        <v>2396</v>
      </c>
      <c r="AB236" s="23">
        <v>14552</v>
      </c>
      <c r="AC236" s="23">
        <v>2</v>
      </c>
      <c r="AD236" s="23">
        <v>13</v>
      </c>
      <c r="AE236" s="20">
        <f t="shared" si="39"/>
        <v>15</v>
      </c>
      <c r="AF236" s="20">
        <f t="shared" si="34"/>
        <v>1257546</v>
      </c>
    </row>
    <row r="237" spans="1:32">
      <c r="A237" s="2">
        <v>1994</v>
      </c>
      <c r="B237" s="2">
        <v>4</v>
      </c>
      <c r="C237" s="16">
        <f t="shared" si="31"/>
        <v>2283181</v>
      </c>
      <c r="D237" s="18">
        <v>1001059</v>
      </c>
      <c r="E237" s="18">
        <v>683958</v>
      </c>
      <c r="F237" s="18">
        <v>320787</v>
      </c>
      <c r="G237" s="18">
        <v>90401</v>
      </c>
      <c r="H237" s="19">
        <f t="shared" si="32"/>
        <v>230386</v>
      </c>
      <c r="I237" s="18">
        <v>2189</v>
      </c>
      <c r="J237" s="18">
        <v>160309</v>
      </c>
      <c r="K237" s="18">
        <v>15623</v>
      </c>
      <c r="L237" s="18">
        <v>99256</v>
      </c>
      <c r="M237" s="65">
        <v>1492206</v>
      </c>
      <c r="N237" s="20">
        <f t="shared" si="35"/>
        <v>-15907</v>
      </c>
      <c r="O237" s="20">
        <f t="shared" si="36"/>
        <v>2267274</v>
      </c>
      <c r="P237" s="65">
        <v>12548</v>
      </c>
      <c r="Q237" s="20">
        <f t="shared" si="37"/>
        <v>152000</v>
      </c>
      <c r="R237" s="24">
        <v>2431822</v>
      </c>
      <c r="S237" s="25">
        <f t="shared" si="38"/>
        <v>6.2504574759172343E-2</v>
      </c>
      <c r="T237" s="60">
        <v>1317753</v>
      </c>
      <c r="U237" s="2">
        <v>1994</v>
      </c>
      <c r="V237" s="2">
        <v>4</v>
      </c>
      <c r="W237" s="16">
        <f t="shared" si="33"/>
        <v>1248177</v>
      </c>
      <c r="X237" s="23">
        <v>1105523</v>
      </c>
      <c r="Y237" s="23">
        <v>122465</v>
      </c>
      <c r="Z237" s="23">
        <v>3181</v>
      </c>
      <c r="AA237" s="23">
        <v>2394</v>
      </c>
      <c r="AB237" s="23">
        <v>14598</v>
      </c>
      <c r="AC237" s="23">
        <v>2</v>
      </c>
      <c r="AD237" s="23">
        <v>14</v>
      </c>
      <c r="AE237" s="20">
        <f t="shared" si="39"/>
        <v>16</v>
      </c>
      <c r="AF237" s="20">
        <f t="shared" si="34"/>
        <v>1248161</v>
      </c>
    </row>
    <row r="238" spans="1:32">
      <c r="A238" s="2">
        <v>1994</v>
      </c>
      <c r="B238" s="2">
        <v>5</v>
      </c>
      <c r="C238" s="16">
        <f t="shared" si="31"/>
        <v>2362993</v>
      </c>
      <c r="D238" s="18">
        <v>1077678</v>
      </c>
      <c r="E238" s="18">
        <v>694927</v>
      </c>
      <c r="F238" s="18">
        <v>301246</v>
      </c>
      <c r="G238" s="18">
        <v>80345</v>
      </c>
      <c r="H238" s="19">
        <f t="shared" si="32"/>
        <v>220901</v>
      </c>
      <c r="I238" s="18">
        <v>2186</v>
      </c>
      <c r="J238" s="18">
        <v>167391</v>
      </c>
      <c r="K238" s="18">
        <v>5834</v>
      </c>
      <c r="L238" s="18">
        <v>113731</v>
      </c>
      <c r="M238" s="65">
        <v>1818956</v>
      </c>
      <c r="N238" s="20">
        <f t="shared" ref="N238:N289" si="40">(M238-M237)</f>
        <v>326750</v>
      </c>
      <c r="O238" s="20">
        <f t="shared" ref="O238:O269" si="41">(C238+N238)</f>
        <v>2689743</v>
      </c>
      <c r="P238" s="65">
        <v>16533</v>
      </c>
      <c r="Q238" s="20">
        <f t="shared" ref="Q238:Q289" si="42">(R238-O238-P238)</f>
        <v>105123</v>
      </c>
      <c r="R238" s="24">
        <v>2811399</v>
      </c>
      <c r="S238" s="25">
        <f t="shared" ref="S238:S273" si="43">(Q238/R238)</f>
        <v>3.7391704272499209E-2</v>
      </c>
      <c r="T238" s="60">
        <v>1597275</v>
      </c>
      <c r="U238" s="2">
        <v>1994</v>
      </c>
      <c r="V238" s="2">
        <v>5</v>
      </c>
      <c r="W238" s="16">
        <f t="shared" si="33"/>
        <v>1232396</v>
      </c>
      <c r="X238" s="23">
        <v>1089368</v>
      </c>
      <c r="Y238" s="23">
        <v>122738</v>
      </c>
      <c r="Z238" s="23">
        <v>3176</v>
      </c>
      <c r="AA238" s="23">
        <v>2435</v>
      </c>
      <c r="AB238" s="23">
        <v>14663</v>
      </c>
      <c r="AC238" s="23">
        <v>2</v>
      </c>
      <c r="AD238" s="23">
        <v>14</v>
      </c>
      <c r="AE238" s="20">
        <f t="shared" si="39"/>
        <v>16</v>
      </c>
      <c r="AF238" s="20">
        <f t="shared" si="34"/>
        <v>1232380</v>
      </c>
    </row>
    <row r="239" spans="1:32">
      <c r="A239" s="2">
        <v>1994</v>
      </c>
      <c r="B239" s="2">
        <v>6</v>
      </c>
      <c r="C239" s="16">
        <f t="shared" si="31"/>
        <v>2628487</v>
      </c>
      <c r="D239" s="18">
        <v>1248896</v>
      </c>
      <c r="E239" s="18">
        <v>746143</v>
      </c>
      <c r="F239" s="18">
        <v>306980</v>
      </c>
      <c r="G239" s="18">
        <v>83028</v>
      </c>
      <c r="H239" s="19">
        <f t="shared" si="32"/>
        <v>223952</v>
      </c>
      <c r="I239" s="18">
        <v>2190</v>
      </c>
      <c r="J239" s="18">
        <v>170603</v>
      </c>
      <c r="K239" s="18">
        <v>11916</v>
      </c>
      <c r="L239" s="18">
        <v>141759</v>
      </c>
      <c r="M239" s="65">
        <v>2005473</v>
      </c>
      <c r="N239" s="20">
        <f t="shared" si="40"/>
        <v>186517</v>
      </c>
      <c r="O239" s="20">
        <f t="shared" si="41"/>
        <v>2815004</v>
      </c>
      <c r="P239" s="65">
        <v>24410</v>
      </c>
      <c r="Q239" s="20">
        <f t="shared" si="42"/>
        <v>187041</v>
      </c>
      <c r="R239" s="24">
        <v>3026455</v>
      </c>
      <c r="S239" s="25">
        <f t="shared" si="43"/>
        <v>6.1802009281486096E-2</v>
      </c>
      <c r="T239" s="60">
        <v>1707581</v>
      </c>
      <c r="U239" s="2">
        <v>1994</v>
      </c>
      <c r="V239" s="2">
        <v>6</v>
      </c>
      <c r="W239" s="16">
        <f t="shared" si="33"/>
        <v>1228898</v>
      </c>
      <c r="X239" s="23">
        <v>1085692</v>
      </c>
      <c r="Y239" s="23">
        <v>122811</v>
      </c>
      <c r="Z239" s="23">
        <v>3202</v>
      </c>
      <c r="AA239" s="23">
        <v>2434</v>
      </c>
      <c r="AB239" s="23">
        <v>14743</v>
      </c>
      <c r="AC239" s="23">
        <v>2</v>
      </c>
      <c r="AD239" s="23">
        <v>14</v>
      </c>
      <c r="AE239" s="20">
        <f t="shared" si="39"/>
        <v>16</v>
      </c>
      <c r="AF239" s="20">
        <f t="shared" si="34"/>
        <v>1228882</v>
      </c>
    </row>
    <row r="240" spans="1:32">
      <c r="A240" s="2">
        <v>1994</v>
      </c>
      <c r="B240" s="2">
        <v>7</v>
      </c>
      <c r="C240" s="16">
        <f t="shared" si="31"/>
        <v>2895150</v>
      </c>
      <c r="D240" s="18">
        <v>1442417</v>
      </c>
      <c r="E240" s="18">
        <v>781181</v>
      </c>
      <c r="F240" s="18">
        <v>308391</v>
      </c>
      <c r="G240" s="18">
        <v>80184</v>
      </c>
      <c r="H240" s="19">
        <f t="shared" si="32"/>
        <v>228207</v>
      </c>
      <c r="I240" s="18">
        <v>2207</v>
      </c>
      <c r="J240" s="18">
        <v>171955</v>
      </c>
      <c r="K240" s="18">
        <v>39872</v>
      </c>
      <c r="L240" s="18">
        <v>149127</v>
      </c>
      <c r="M240" s="65">
        <v>2041327</v>
      </c>
      <c r="N240" s="20">
        <f t="shared" si="40"/>
        <v>35854</v>
      </c>
      <c r="O240" s="20">
        <f t="shared" si="41"/>
        <v>2931004</v>
      </c>
      <c r="P240" s="65">
        <v>20967</v>
      </c>
      <c r="Q240" s="20">
        <f t="shared" si="42"/>
        <v>142809</v>
      </c>
      <c r="R240" s="24">
        <v>3094780</v>
      </c>
      <c r="S240" s="25">
        <f t="shared" si="43"/>
        <v>4.6145121785716593E-2</v>
      </c>
      <c r="T240" s="60">
        <v>1703770</v>
      </c>
      <c r="U240" s="2">
        <v>1994</v>
      </c>
      <c r="V240" s="2">
        <v>7</v>
      </c>
      <c r="W240" s="16">
        <f t="shared" si="33"/>
        <v>1228912</v>
      </c>
      <c r="X240" s="23">
        <v>1085455</v>
      </c>
      <c r="Y240" s="23">
        <v>123055</v>
      </c>
      <c r="Z240" s="23">
        <v>3199</v>
      </c>
      <c r="AA240" s="23">
        <v>2438</v>
      </c>
      <c r="AB240" s="23">
        <v>14749</v>
      </c>
      <c r="AC240" s="23">
        <v>2</v>
      </c>
      <c r="AD240" s="23">
        <v>14</v>
      </c>
      <c r="AE240" s="20">
        <f t="shared" si="39"/>
        <v>16</v>
      </c>
      <c r="AF240" s="20">
        <f t="shared" si="34"/>
        <v>1228896</v>
      </c>
    </row>
    <row r="241" spans="1:33">
      <c r="A241" s="2">
        <v>1994</v>
      </c>
      <c r="B241" s="2">
        <v>8</v>
      </c>
      <c r="C241" s="16">
        <f t="shared" si="31"/>
        <v>2809683</v>
      </c>
      <c r="D241" s="18">
        <v>1363724</v>
      </c>
      <c r="E241" s="18">
        <v>757407</v>
      </c>
      <c r="F241" s="18">
        <v>298600</v>
      </c>
      <c r="G241" s="18">
        <v>84244</v>
      </c>
      <c r="H241" s="19">
        <f t="shared" si="32"/>
        <v>214356</v>
      </c>
      <c r="I241" s="18">
        <v>2214</v>
      </c>
      <c r="J241" s="18">
        <v>165199</v>
      </c>
      <c r="K241" s="18">
        <v>77007</v>
      </c>
      <c r="L241" s="18">
        <v>145532</v>
      </c>
      <c r="M241" s="65">
        <v>2113288</v>
      </c>
      <c r="N241" s="20">
        <f t="shared" si="40"/>
        <v>71961</v>
      </c>
      <c r="O241" s="20">
        <f t="shared" si="41"/>
        <v>2881644</v>
      </c>
      <c r="P241" s="65">
        <v>16441</v>
      </c>
      <c r="Q241" s="20">
        <f t="shared" si="42"/>
        <v>167095</v>
      </c>
      <c r="R241" s="24">
        <v>3065180</v>
      </c>
      <c r="S241" s="25">
        <f t="shared" si="43"/>
        <v>5.4513927403937124E-2</v>
      </c>
      <c r="T241" s="60">
        <v>1793480</v>
      </c>
      <c r="U241" s="2">
        <v>1994</v>
      </c>
      <c r="V241" s="2">
        <v>8</v>
      </c>
      <c r="W241" s="16">
        <f t="shared" si="33"/>
        <v>1230116</v>
      </c>
      <c r="X241" s="23">
        <v>1086504</v>
      </c>
      <c r="Y241" s="23">
        <v>123157</v>
      </c>
      <c r="Z241" s="23">
        <v>3214</v>
      </c>
      <c r="AA241" s="23">
        <v>2443</v>
      </c>
      <c r="AB241" s="23">
        <v>14782</v>
      </c>
      <c r="AC241" s="23">
        <v>2</v>
      </c>
      <c r="AD241" s="23">
        <v>14</v>
      </c>
      <c r="AE241" s="20">
        <f t="shared" si="39"/>
        <v>16</v>
      </c>
      <c r="AF241" s="20">
        <f t="shared" si="34"/>
        <v>1230100</v>
      </c>
    </row>
    <row r="242" spans="1:33">
      <c r="A242" s="2">
        <v>1994</v>
      </c>
      <c r="B242" s="2">
        <v>9</v>
      </c>
      <c r="C242" s="16">
        <f t="shared" si="31"/>
        <v>2939005</v>
      </c>
      <c r="D242" s="18">
        <v>1401099</v>
      </c>
      <c r="E242" s="18">
        <v>797339</v>
      </c>
      <c r="F242" s="18">
        <v>326733</v>
      </c>
      <c r="G242" s="18">
        <v>96843</v>
      </c>
      <c r="H242" s="19">
        <f t="shared" si="32"/>
        <v>229890</v>
      </c>
      <c r="I242" s="18">
        <v>2201</v>
      </c>
      <c r="J242" s="18">
        <v>193583</v>
      </c>
      <c r="K242" s="18">
        <v>72769</v>
      </c>
      <c r="L242" s="18">
        <v>145281</v>
      </c>
      <c r="M242" s="65">
        <v>1785068</v>
      </c>
      <c r="N242" s="20">
        <f t="shared" si="40"/>
        <v>-328220</v>
      </c>
      <c r="O242" s="20">
        <f t="shared" si="41"/>
        <v>2610785</v>
      </c>
      <c r="P242" s="65">
        <v>14170</v>
      </c>
      <c r="Q242" s="20">
        <f t="shared" si="42"/>
        <v>148553</v>
      </c>
      <c r="R242" s="24">
        <v>2773508</v>
      </c>
      <c r="S242" s="25">
        <f t="shared" si="43"/>
        <v>5.3561410315023428E-2</v>
      </c>
      <c r="T242" s="60">
        <v>1527944</v>
      </c>
      <c r="U242" s="2">
        <v>1994</v>
      </c>
      <c r="V242" s="2">
        <v>9</v>
      </c>
      <c r="W242" s="16">
        <f t="shared" si="33"/>
        <v>1233005</v>
      </c>
      <c r="X242" s="23">
        <v>1088893</v>
      </c>
      <c r="Y242" s="23">
        <v>123552</v>
      </c>
      <c r="Z242" s="23">
        <v>3231</v>
      </c>
      <c r="AA242" s="23">
        <v>2445</v>
      </c>
      <c r="AB242" s="23">
        <v>14869</v>
      </c>
      <c r="AC242" s="23">
        <v>2</v>
      </c>
      <c r="AD242" s="23">
        <v>13</v>
      </c>
      <c r="AE242" s="20">
        <f t="shared" si="39"/>
        <v>15</v>
      </c>
      <c r="AF242" s="20">
        <f t="shared" si="34"/>
        <v>1232990</v>
      </c>
    </row>
    <row r="243" spans="1:33">
      <c r="A243" s="2">
        <v>1994</v>
      </c>
      <c r="B243" s="2">
        <v>10</v>
      </c>
      <c r="C243" s="16">
        <f t="shared" si="31"/>
        <v>2558973</v>
      </c>
      <c r="D243" s="18">
        <v>1168617</v>
      </c>
      <c r="E243" s="18">
        <v>720044</v>
      </c>
      <c r="F243" s="18">
        <v>295256</v>
      </c>
      <c r="G243" s="18">
        <v>85580</v>
      </c>
      <c r="H243" s="19">
        <f t="shared" si="32"/>
        <v>209676</v>
      </c>
      <c r="I243" s="18">
        <v>2224</v>
      </c>
      <c r="J243" s="18">
        <v>176997</v>
      </c>
      <c r="K243" s="18">
        <v>70769</v>
      </c>
      <c r="L243" s="18">
        <v>125066</v>
      </c>
      <c r="M243" s="65">
        <v>1612361</v>
      </c>
      <c r="N243" s="20">
        <f t="shared" si="40"/>
        <v>-172707</v>
      </c>
      <c r="O243" s="20">
        <f t="shared" si="41"/>
        <v>2386266</v>
      </c>
      <c r="P243" s="65">
        <v>15538</v>
      </c>
      <c r="Q243" s="20">
        <f t="shared" si="42"/>
        <v>116195</v>
      </c>
      <c r="R243" s="24">
        <v>2517999</v>
      </c>
      <c r="S243" s="25">
        <f t="shared" si="43"/>
        <v>4.6145768922068675E-2</v>
      </c>
      <c r="T243" s="60">
        <v>1431665</v>
      </c>
      <c r="U243" s="2">
        <v>1994</v>
      </c>
      <c r="V243" s="2">
        <v>10</v>
      </c>
      <c r="W243" s="16">
        <f t="shared" si="33"/>
        <v>1240090</v>
      </c>
      <c r="X243" s="23">
        <v>1095551</v>
      </c>
      <c r="Y243" s="23">
        <v>123936</v>
      </c>
      <c r="Z243" s="23">
        <v>3228</v>
      </c>
      <c r="AA243" s="23">
        <v>2437</v>
      </c>
      <c r="AB243" s="23">
        <v>14923</v>
      </c>
      <c r="AC243" s="23">
        <v>2</v>
      </c>
      <c r="AD243" s="23">
        <v>13</v>
      </c>
      <c r="AE243" s="20">
        <f t="shared" si="39"/>
        <v>15</v>
      </c>
      <c r="AF243" s="20">
        <f t="shared" si="34"/>
        <v>1240075</v>
      </c>
    </row>
    <row r="244" spans="1:33">
      <c r="A244" s="2">
        <v>1994</v>
      </c>
      <c r="B244" s="2">
        <v>11</v>
      </c>
      <c r="C244" s="16">
        <f t="shared" si="31"/>
        <v>2268894</v>
      </c>
      <c r="D244" s="18">
        <v>979273</v>
      </c>
      <c r="E244" s="18">
        <v>682743</v>
      </c>
      <c r="F244" s="18">
        <v>287584</v>
      </c>
      <c r="G244" s="18">
        <v>77942</v>
      </c>
      <c r="H244" s="19">
        <f t="shared" si="32"/>
        <v>209642</v>
      </c>
      <c r="I244" s="18">
        <v>2238</v>
      </c>
      <c r="J244" s="18">
        <v>166702</v>
      </c>
      <c r="K244" s="18">
        <v>48471</v>
      </c>
      <c r="L244" s="18">
        <v>101883</v>
      </c>
      <c r="M244" s="65">
        <v>1460198</v>
      </c>
      <c r="N244" s="20">
        <f t="shared" si="40"/>
        <v>-152163</v>
      </c>
      <c r="O244" s="20">
        <f t="shared" si="41"/>
        <v>2116731</v>
      </c>
      <c r="P244" s="65">
        <v>11485</v>
      </c>
      <c r="Q244" s="20">
        <f t="shared" si="42"/>
        <v>113776</v>
      </c>
      <c r="R244" s="24">
        <v>2241992</v>
      </c>
      <c r="S244" s="25">
        <f t="shared" si="43"/>
        <v>5.0747727913391306E-2</v>
      </c>
      <c r="T244" s="60">
        <v>1349832</v>
      </c>
      <c r="U244" s="2">
        <v>1994</v>
      </c>
      <c r="V244" s="2">
        <v>11</v>
      </c>
      <c r="W244" s="16">
        <f t="shared" si="33"/>
        <v>1255427</v>
      </c>
      <c r="X244" s="23">
        <v>1110583</v>
      </c>
      <c r="Y244" s="23">
        <v>124212</v>
      </c>
      <c r="Z244" s="23">
        <v>3220</v>
      </c>
      <c r="AA244" s="23">
        <v>2427</v>
      </c>
      <c r="AB244" s="23">
        <v>14970</v>
      </c>
      <c r="AC244" s="23">
        <v>2</v>
      </c>
      <c r="AD244" s="23">
        <v>13</v>
      </c>
      <c r="AE244" s="20">
        <f t="shared" si="39"/>
        <v>15</v>
      </c>
      <c r="AF244" s="20">
        <f t="shared" si="34"/>
        <v>1255412</v>
      </c>
    </row>
    <row r="245" spans="1:33">
      <c r="A245" s="2">
        <v>1994</v>
      </c>
      <c r="B245" s="2">
        <v>12</v>
      </c>
      <c r="C245" s="16">
        <f t="shared" si="31"/>
        <v>2171147</v>
      </c>
      <c r="D245" s="18">
        <v>942944</v>
      </c>
      <c r="E245" s="18">
        <v>664644</v>
      </c>
      <c r="F245" s="18">
        <v>303821</v>
      </c>
      <c r="G245" s="18">
        <v>86666</v>
      </c>
      <c r="H245" s="19">
        <f t="shared" si="32"/>
        <v>217155</v>
      </c>
      <c r="I245" s="18">
        <v>2229</v>
      </c>
      <c r="J245" s="18">
        <v>161284</v>
      </c>
      <c r="K245" s="18">
        <v>10727</v>
      </c>
      <c r="L245" s="18">
        <v>85498</v>
      </c>
      <c r="M245" s="65">
        <v>1441902</v>
      </c>
      <c r="N245" s="20">
        <f t="shared" si="40"/>
        <v>-18296</v>
      </c>
      <c r="O245" s="20">
        <f t="shared" si="41"/>
        <v>2152851</v>
      </c>
      <c r="P245" s="65">
        <v>16826</v>
      </c>
      <c r="Q245" s="20">
        <f t="shared" si="42"/>
        <v>143647</v>
      </c>
      <c r="R245" s="24">
        <v>2313324</v>
      </c>
      <c r="S245" s="25">
        <f t="shared" si="43"/>
        <v>6.2095495486148934E-2</v>
      </c>
      <c r="T245" s="60">
        <v>1339857</v>
      </c>
      <c r="U245" s="2">
        <v>1994</v>
      </c>
      <c r="V245" s="2">
        <v>12</v>
      </c>
      <c r="W245" s="16">
        <f t="shared" si="33"/>
        <v>1267301</v>
      </c>
      <c r="X245" s="23">
        <v>1122217</v>
      </c>
      <c r="Y245" s="23">
        <v>124409</v>
      </c>
      <c r="Z245" s="23">
        <v>3219</v>
      </c>
      <c r="AA245" s="23">
        <v>2420</v>
      </c>
      <c r="AB245" s="23">
        <v>15021</v>
      </c>
      <c r="AC245" s="23">
        <v>2</v>
      </c>
      <c r="AD245" s="23">
        <v>13</v>
      </c>
      <c r="AE245" s="20">
        <f t="shared" si="39"/>
        <v>15</v>
      </c>
      <c r="AF245" s="20">
        <f t="shared" si="34"/>
        <v>1267286</v>
      </c>
    </row>
    <row r="246" spans="1:33">
      <c r="A246" s="2">
        <v>1995</v>
      </c>
      <c r="B246" s="2">
        <v>1</v>
      </c>
      <c r="C246" s="16">
        <f t="shared" si="31"/>
        <v>2220955</v>
      </c>
      <c r="D246" s="18">
        <v>1107504</v>
      </c>
      <c r="E246" s="18">
        <v>600341</v>
      </c>
      <c r="F246" s="18">
        <v>286886</v>
      </c>
      <c r="G246" s="18">
        <v>90999</v>
      </c>
      <c r="H246" s="19">
        <f t="shared" si="32"/>
        <v>195887</v>
      </c>
      <c r="I246" s="18">
        <v>2234</v>
      </c>
      <c r="J246" s="18">
        <v>141846</v>
      </c>
      <c r="K246" s="18">
        <v>2165</v>
      </c>
      <c r="L246" s="18">
        <v>79979</v>
      </c>
      <c r="M246" s="65">
        <v>1669138</v>
      </c>
      <c r="N246" s="20">
        <f t="shared" si="40"/>
        <v>227236</v>
      </c>
      <c r="O246" s="20">
        <f t="shared" si="41"/>
        <v>2448191</v>
      </c>
      <c r="P246" s="65">
        <v>16183</v>
      </c>
      <c r="Q246" s="20">
        <f t="shared" si="42"/>
        <v>146923</v>
      </c>
      <c r="R246" s="24">
        <v>2611297</v>
      </c>
      <c r="S246" s="25">
        <f t="shared" si="43"/>
        <v>5.6264377433895875E-2</v>
      </c>
      <c r="T246" s="60">
        <v>1518245</v>
      </c>
      <c r="U246" s="2">
        <v>1995</v>
      </c>
      <c r="V246" s="2">
        <v>1</v>
      </c>
      <c r="W246" s="16">
        <f t="shared" si="33"/>
        <v>1275738</v>
      </c>
      <c r="X246" s="23">
        <v>1130616</v>
      </c>
      <c r="Y246" s="23">
        <v>124372</v>
      </c>
      <c r="Z246" s="23">
        <v>3235</v>
      </c>
      <c r="AA246" s="23">
        <v>2417</v>
      </c>
      <c r="AB246" s="23">
        <v>15082</v>
      </c>
      <c r="AC246" s="23">
        <v>2</v>
      </c>
      <c r="AD246" s="23">
        <v>14</v>
      </c>
      <c r="AE246" s="20">
        <f t="shared" si="39"/>
        <v>16</v>
      </c>
      <c r="AF246" s="20">
        <f t="shared" si="34"/>
        <v>1275722</v>
      </c>
    </row>
    <row r="247" spans="1:33">
      <c r="A247" s="2">
        <v>1995</v>
      </c>
      <c r="B247" s="2">
        <v>2</v>
      </c>
      <c r="C247" s="16">
        <f t="shared" si="31"/>
        <v>2347777</v>
      </c>
      <c r="D247" s="18">
        <v>1245946</v>
      </c>
      <c r="E247" s="18">
        <v>575731</v>
      </c>
      <c r="F247" s="18">
        <v>292513</v>
      </c>
      <c r="G247" s="18">
        <v>94195</v>
      </c>
      <c r="H247" s="19">
        <f t="shared" si="32"/>
        <v>198318</v>
      </c>
      <c r="I247" s="18">
        <v>2278</v>
      </c>
      <c r="J247" s="18">
        <v>145636</v>
      </c>
      <c r="K247" s="18">
        <v>10701</v>
      </c>
      <c r="L247" s="18">
        <v>74972</v>
      </c>
      <c r="M247" s="65">
        <v>1521218</v>
      </c>
      <c r="N247" s="20">
        <f t="shared" si="40"/>
        <v>-147920</v>
      </c>
      <c r="O247" s="20">
        <f t="shared" si="41"/>
        <v>2199857</v>
      </c>
      <c r="P247" s="65">
        <v>12657</v>
      </c>
      <c r="Q247" s="20">
        <f t="shared" si="42"/>
        <v>137734</v>
      </c>
      <c r="R247" s="24">
        <v>2350248</v>
      </c>
      <c r="S247" s="25">
        <f t="shared" si="43"/>
        <v>5.8604028170644119E-2</v>
      </c>
      <c r="T247" s="60">
        <v>1337836</v>
      </c>
      <c r="U247" s="2">
        <v>1995</v>
      </c>
      <c r="V247" s="2">
        <v>2</v>
      </c>
      <c r="W247" s="16">
        <f t="shared" si="33"/>
        <v>1280247</v>
      </c>
      <c r="X247" s="23">
        <v>1135042</v>
      </c>
      <c r="Y247" s="23">
        <v>124404</v>
      </c>
      <c r="Z247" s="23">
        <v>3228</v>
      </c>
      <c r="AA247" s="23">
        <v>2420</v>
      </c>
      <c r="AB247" s="23">
        <v>15138</v>
      </c>
      <c r="AC247" s="23">
        <v>2</v>
      </c>
      <c r="AD247" s="23">
        <v>13</v>
      </c>
      <c r="AE247" s="20">
        <f t="shared" si="39"/>
        <v>15</v>
      </c>
      <c r="AF247" s="20">
        <f t="shared" si="34"/>
        <v>1280232</v>
      </c>
      <c r="AG247" s="21"/>
    </row>
    <row r="248" spans="1:33">
      <c r="A248" s="2">
        <v>1995</v>
      </c>
      <c r="B248" s="2">
        <v>3</v>
      </c>
      <c r="C248" s="16">
        <f t="shared" si="31"/>
        <v>2126490</v>
      </c>
      <c r="D248" s="18">
        <f>966912</f>
        <v>966912</v>
      </c>
      <c r="E248" s="18">
        <f>594140</f>
        <v>594140</v>
      </c>
      <c r="F248" s="18">
        <f>281074</f>
        <v>281074</v>
      </c>
      <c r="G248" s="18">
        <v>89880</v>
      </c>
      <c r="H248" s="19">
        <f t="shared" si="32"/>
        <v>191194</v>
      </c>
      <c r="I248" s="18">
        <v>2184</v>
      </c>
      <c r="J248" s="18">
        <v>149011</v>
      </c>
      <c r="K248" s="18">
        <v>51523</v>
      </c>
      <c r="L248" s="18">
        <v>81646</v>
      </c>
      <c r="M248" s="65">
        <v>1490223</v>
      </c>
      <c r="N248" s="20">
        <f t="shared" si="40"/>
        <v>-30995</v>
      </c>
      <c r="O248" s="20">
        <f t="shared" si="41"/>
        <v>2095495</v>
      </c>
      <c r="P248" s="65">
        <v>17892</v>
      </c>
      <c r="Q248" s="20">
        <f t="shared" si="42"/>
        <v>138109</v>
      </c>
      <c r="R248" s="24">
        <v>2251496</v>
      </c>
      <c r="S248" s="25">
        <f t="shared" si="43"/>
        <v>6.1340992833209561E-2</v>
      </c>
      <c r="T248" s="60">
        <v>1359518</v>
      </c>
      <c r="U248" s="2">
        <v>1995</v>
      </c>
      <c r="V248" s="2">
        <v>3</v>
      </c>
      <c r="W248" s="16">
        <f t="shared" si="33"/>
        <v>1257016</v>
      </c>
      <c r="X248" s="23">
        <f>1089384+26870+280</f>
        <v>1116534</v>
      </c>
      <c r="Y248" s="23">
        <f>120328+56</f>
        <v>120384</v>
      </c>
      <c r="Z248" s="23">
        <f>2984+1</f>
        <v>2985</v>
      </c>
      <c r="AA248" s="23">
        <v>2240</v>
      </c>
      <c r="AB248" s="23">
        <f>14855+3</f>
        <v>14858</v>
      </c>
      <c r="AC248" s="23">
        <v>2</v>
      </c>
      <c r="AD248" s="23">
        <v>13</v>
      </c>
      <c r="AE248" s="20">
        <f t="shared" si="39"/>
        <v>15</v>
      </c>
      <c r="AF248" s="20">
        <f t="shared" si="34"/>
        <v>1257001</v>
      </c>
    </row>
    <row r="249" spans="1:33">
      <c r="A249" s="2">
        <v>1995</v>
      </c>
      <c r="B249" s="2">
        <v>4</v>
      </c>
      <c r="C249" s="16">
        <f t="shared" si="31"/>
        <v>2296020</v>
      </c>
      <c r="D249" s="18">
        <v>973074</v>
      </c>
      <c r="E249" s="18">
        <v>689005</v>
      </c>
      <c r="F249" s="18">
        <v>343083</v>
      </c>
      <c r="G249" s="18">
        <v>102775</v>
      </c>
      <c r="H249" s="19">
        <f t="shared" si="32"/>
        <v>240308</v>
      </c>
      <c r="I249" s="18">
        <v>2281</v>
      </c>
      <c r="J249" s="18">
        <v>166404</v>
      </c>
      <c r="K249" s="18">
        <v>45577</v>
      </c>
      <c r="L249" s="18">
        <v>76596</v>
      </c>
      <c r="M249" s="65">
        <v>1331225</v>
      </c>
      <c r="N249" s="20">
        <f t="shared" si="40"/>
        <v>-158998</v>
      </c>
      <c r="O249" s="20">
        <f t="shared" si="41"/>
        <v>2137022</v>
      </c>
      <c r="P249" s="65">
        <v>13071</v>
      </c>
      <c r="Q249" s="20">
        <f t="shared" si="42"/>
        <v>206720</v>
      </c>
      <c r="R249" s="24">
        <v>2356813</v>
      </c>
      <c r="S249" s="25">
        <f t="shared" si="43"/>
        <v>8.7711668257091244E-2</v>
      </c>
      <c r="T249" s="60">
        <v>1231477</v>
      </c>
      <c r="U249" s="2">
        <v>1995</v>
      </c>
      <c r="V249" s="2">
        <v>4</v>
      </c>
      <c r="W249" s="16">
        <f t="shared" si="33"/>
        <v>1331670</v>
      </c>
      <c r="X249" s="23">
        <f>(1084294+87513)+6413</f>
        <v>1178220</v>
      </c>
      <c r="Y249" s="23">
        <f>130397+1111</f>
        <v>131508</v>
      </c>
      <c r="Z249" s="23">
        <f>3460+38</f>
        <v>3498</v>
      </c>
      <c r="AA249" s="23">
        <f>2570+4</f>
        <v>2574</v>
      </c>
      <c r="AB249" s="23">
        <f>15749+104</f>
        <v>15853</v>
      </c>
      <c r="AC249" s="65">
        <v>2</v>
      </c>
      <c r="AD249" s="65">
        <v>15</v>
      </c>
      <c r="AE249" s="20">
        <f t="shared" si="39"/>
        <v>17</v>
      </c>
      <c r="AF249" s="20">
        <f t="shared" si="34"/>
        <v>1331653</v>
      </c>
    </row>
    <row r="250" spans="1:33">
      <c r="A250" s="2">
        <v>1995</v>
      </c>
      <c r="B250" s="2">
        <v>5</v>
      </c>
      <c r="C250" s="16">
        <f t="shared" si="31"/>
        <v>2433803</v>
      </c>
      <c r="D250" s="18">
        <v>1144542</v>
      </c>
      <c r="E250" s="18">
        <v>717600</v>
      </c>
      <c r="F250" s="18">
        <v>317815</v>
      </c>
      <c r="G250" s="18">
        <v>92253</v>
      </c>
      <c r="H250" s="19">
        <f t="shared" si="32"/>
        <v>225562</v>
      </c>
      <c r="I250" s="18">
        <v>2266</v>
      </c>
      <c r="J250" s="18">
        <v>174219</v>
      </c>
      <c r="K250" s="18">
        <v>2678</v>
      </c>
      <c r="L250" s="18">
        <v>74683</v>
      </c>
      <c r="M250" s="65">
        <v>1955906</v>
      </c>
      <c r="N250" s="20">
        <f t="shared" si="40"/>
        <v>624681</v>
      </c>
      <c r="O250" s="20">
        <f t="shared" si="41"/>
        <v>3058484</v>
      </c>
      <c r="P250" s="65">
        <v>11278</v>
      </c>
      <c r="Q250" s="20">
        <f t="shared" si="42"/>
        <v>143005</v>
      </c>
      <c r="R250" s="24">
        <v>3212767</v>
      </c>
      <c r="S250" s="25">
        <f t="shared" si="43"/>
        <v>4.451147562210394E-2</v>
      </c>
      <c r="T250" s="60">
        <v>1734613</v>
      </c>
      <c r="U250" s="2">
        <v>1995</v>
      </c>
      <c r="V250" s="2">
        <v>5</v>
      </c>
      <c r="W250" s="16">
        <f t="shared" si="33"/>
        <v>1238523</v>
      </c>
      <c r="X250" s="23">
        <f>1084028+10809</f>
        <v>1094837</v>
      </c>
      <c r="Y250" s="23">
        <f>120575+2299</f>
        <v>122874</v>
      </c>
      <c r="Z250" s="23">
        <f>3047+83</f>
        <v>3130</v>
      </c>
      <c r="AA250" s="23">
        <f>2408+28</f>
        <v>2436</v>
      </c>
      <c r="AB250" s="23">
        <f>14940+291</f>
        <v>15231</v>
      </c>
      <c r="AC250" s="23">
        <v>2</v>
      </c>
      <c r="AD250" s="23">
        <v>13</v>
      </c>
      <c r="AE250" s="20">
        <f t="shared" si="39"/>
        <v>15</v>
      </c>
      <c r="AF250" s="20">
        <f t="shared" si="34"/>
        <v>1238508</v>
      </c>
    </row>
    <row r="251" spans="1:33">
      <c r="A251" s="2">
        <v>1995</v>
      </c>
      <c r="B251" s="2">
        <v>6</v>
      </c>
      <c r="C251" s="16">
        <f t="shared" si="31"/>
        <v>2924425</v>
      </c>
      <c r="D251" s="18">
        <v>1471599</v>
      </c>
      <c r="E251" s="18">
        <v>805306</v>
      </c>
      <c r="F251" s="18">
        <v>340648</v>
      </c>
      <c r="G251" s="18">
        <v>100935</v>
      </c>
      <c r="H251" s="19">
        <f t="shared" si="32"/>
        <v>239713</v>
      </c>
      <c r="I251" s="18">
        <v>2291</v>
      </c>
      <c r="J251" s="18">
        <v>192033</v>
      </c>
      <c r="K251" s="18">
        <v>9639</v>
      </c>
      <c r="L251" s="18">
        <v>102909</v>
      </c>
      <c r="M251" s="65">
        <v>1864395</v>
      </c>
      <c r="N251" s="20">
        <f t="shared" si="40"/>
        <v>-91511</v>
      </c>
      <c r="O251" s="20">
        <f t="shared" si="41"/>
        <v>2832914</v>
      </c>
      <c r="P251" s="65">
        <v>11292</v>
      </c>
      <c r="Q251" s="20">
        <f t="shared" si="42"/>
        <v>170981</v>
      </c>
      <c r="R251" s="24">
        <v>3015187</v>
      </c>
      <c r="S251" s="25">
        <f t="shared" si="43"/>
        <v>5.6706598960528813E-2</v>
      </c>
      <c r="T251" s="60">
        <v>1572202</v>
      </c>
      <c r="U251" s="2">
        <v>1995</v>
      </c>
      <c r="V251" s="2">
        <v>6</v>
      </c>
      <c r="W251" s="16">
        <f t="shared" si="33"/>
        <v>1262754</v>
      </c>
      <c r="X251" s="23">
        <f>1097200+17982</f>
        <v>1115182</v>
      </c>
      <c r="Y251" s="23">
        <f>122286+4298</f>
        <v>126584</v>
      </c>
      <c r="Z251" s="23">
        <f>3032+116</f>
        <v>3148</v>
      </c>
      <c r="AA251" s="23">
        <f>2410+37</f>
        <v>2447</v>
      </c>
      <c r="AB251" s="23">
        <f>15005+373</f>
        <v>15378</v>
      </c>
      <c r="AC251" s="23">
        <v>2</v>
      </c>
      <c r="AD251" s="23">
        <v>13</v>
      </c>
      <c r="AE251" s="20">
        <f t="shared" si="39"/>
        <v>15</v>
      </c>
      <c r="AF251" s="20">
        <f t="shared" si="34"/>
        <v>1262739</v>
      </c>
    </row>
    <row r="252" spans="1:33">
      <c r="A252" s="2">
        <v>1995</v>
      </c>
      <c r="B252" s="2">
        <v>7</v>
      </c>
      <c r="C252" s="16">
        <f t="shared" si="31"/>
        <v>2952571</v>
      </c>
      <c r="D252" s="18">
        <v>1466071</v>
      </c>
      <c r="E252" s="18">
        <v>788534</v>
      </c>
      <c r="F252" s="18">
        <v>319163</v>
      </c>
      <c r="G252" s="18">
        <v>101594</v>
      </c>
      <c r="H252" s="19">
        <f t="shared" si="32"/>
        <v>217569</v>
      </c>
      <c r="I252" s="18">
        <v>2283</v>
      </c>
      <c r="J252" s="18">
        <v>171157</v>
      </c>
      <c r="K252" s="18">
        <v>89524</v>
      </c>
      <c r="L252" s="18">
        <v>115839</v>
      </c>
      <c r="M252" s="65">
        <v>2006445</v>
      </c>
      <c r="N252" s="20">
        <f t="shared" si="40"/>
        <v>142050</v>
      </c>
      <c r="O252" s="20">
        <f t="shared" si="41"/>
        <v>3094621</v>
      </c>
      <c r="P252" s="65">
        <v>11292</v>
      </c>
      <c r="Q252" s="20">
        <f t="shared" si="42"/>
        <v>258007</v>
      </c>
      <c r="R252" s="24">
        <v>3363920</v>
      </c>
      <c r="S252" s="25">
        <f t="shared" si="43"/>
        <v>7.6698316250089188E-2</v>
      </c>
      <c r="T252" s="60">
        <v>1676717</v>
      </c>
      <c r="U252" s="2">
        <v>1995</v>
      </c>
      <c r="V252" s="2">
        <v>7</v>
      </c>
      <c r="W252" s="16">
        <f t="shared" si="33"/>
        <v>1238783</v>
      </c>
      <c r="X252" s="23">
        <f>1070112+23310</f>
        <v>1093422</v>
      </c>
      <c r="Y252" s="23">
        <f>119131+5382</f>
        <v>124513</v>
      </c>
      <c r="Z252" s="23">
        <f>2955+152</f>
        <v>3107</v>
      </c>
      <c r="AA252" s="23">
        <f>2404+20</f>
        <v>2424</v>
      </c>
      <c r="AB252" s="23">
        <f>14821+480</f>
        <v>15301</v>
      </c>
      <c r="AC252" s="23">
        <v>2</v>
      </c>
      <c r="AD252" s="23">
        <v>14</v>
      </c>
      <c r="AE252" s="20">
        <f t="shared" si="39"/>
        <v>16</v>
      </c>
      <c r="AF252" s="20">
        <f t="shared" si="34"/>
        <v>1238767</v>
      </c>
    </row>
    <row r="253" spans="1:33">
      <c r="A253" s="2">
        <v>1995</v>
      </c>
      <c r="B253" s="2">
        <v>8</v>
      </c>
      <c r="C253" s="16">
        <f t="shared" si="31"/>
        <v>3019518</v>
      </c>
      <c r="D253" s="18">
        <v>1512211</v>
      </c>
      <c r="E253" s="18">
        <v>814019</v>
      </c>
      <c r="F253" s="18">
        <v>320662</v>
      </c>
      <c r="G253" s="18">
        <v>105862</v>
      </c>
      <c r="H253" s="19">
        <f t="shared" si="32"/>
        <v>214800</v>
      </c>
      <c r="I253" s="18">
        <v>2243</v>
      </c>
      <c r="J253" s="18">
        <v>175857</v>
      </c>
      <c r="K253" s="18">
        <v>79411</v>
      </c>
      <c r="L253" s="18">
        <v>115115</v>
      </c>
      <c r="M253" s="65">
        <v>2281546</v>
      </c>
      <c r="N253" s="20">
        <f t="shared" si="40"/>
        <v>275101</v>
      </c>
      <c r="O253" s="20">
        <f t="shared" si="41"/>
        <v>3294619</v>
      </c>
      <c r="P253" s="65">
        <v>9416</v>
      </c>
      <c r="Q253" s="20">
        <f t="shared" si="42"/>
        <v>137586</v>
      </c>
      <c r="R253" s="24">
        <v>3441621</v>
      </c>
      <c r="S253" s="25">
        <f t="shared" si="43"/>
        <v>3.9977092189988378E-2</v>
      </c>
      <c r="T253" s="60">
        <v>1877145</v>
      </c>
      <c r="U253" s="2">
        <v>1995</v>
      </c>
      <c r="V253" s="2">
        <v>8</v>
      </c>
      <c r="W253" s="16">
        <f t="shared" si="33"/>
        <v>1241673</v>
      </c>
      <c r="X253" s="23">
        <f>1083365+12231</f>
        <v>1095596</v>
      </c>
      <c r="Y253" s="23">
        <f>121725+3720</f>
        <v>125445</v>
      </c>
      <c r="Z253" s="23">
        <f>3040+52</f>
        <v>3092</v>
      </c>
      <c r="AA253" s="23">
        <f>2406+26</f>
        <v>2432</v>
      </c>
      <c r="AB253" s="23">
        <f>14893+199</f>
        <v>15092</v>
      </c>
      <c r="AC253" s="23">
        <v>2</v>
      </c>
      <c r="AD253" s="23">
        <v>14</v>
      </c>
      <c r="AE253" s="20">
        <f t="shared" si="39"/>
        <v>16</v>
      </c>
      <c r="AF253" s="20">
        <f t="shared" si="34"/>
        <v>1241657</v>
      </c>
    </row>
    <row r="254" spans="1:33">
      <c r="A254" s="2">
        <v>1995</v>
      </c>
      <c r="B254" s="2">
        <v>9</v>
      </c>
      <c r="C254" s="16">
        <f t="shared" si="31"/>
        <v>3294464</v>
      </c>
      <c r="D254" s="18">
        <v>1592843</v>
      </c>
      <c r="E254" s="18">
        <v>880939</v>
      </c>
      <c r="F254" s="18">
        <v>350293</v>
      </c>
      <c r="G254" s="18">
        <v>110676</v>
      </c>
      <c r="H254" s="19">
        <f t="shared" si="32"/>
        <v>239617</v>
      </c>
      <c r="I254" s="18">
        <v>2248</v>
      </c>
      <c r="J254" s="18">
        <v>213129</v>
      </c>
      <c r="K254" s="18">
        <v>128779</v>
      </c>
      <c r="L254" s="18">
        <v>126233</v>
      </c>
      <c r="M254" s="65">
        <v>2026276</v>
      </c>
      <c r="N254" s="20">
        <f t="shared" si="40"/>
        <v>-255270</v>
      </c>
      <c r="O254" s="20">
        <f t="shared" si="41"/>
        <v>3039194</v>
      </c>
      <c r="P254" s="65">
        <v>11293</v>
      </c>
      <c r="Q254" s="20">
        <f t="shared" si="42"/>
        <v>116783</v>
      </c>
      <c r="R254" s="24">
        <v>3167270</v>
      </c>
      <c r="S254" s="25">
        <f t="shared" si="43"/>
        <v>3.6871817053803435E-2</v>
      </c>
      <c r="T254" s="60">
        <v>1677643</v>
      </c>
      <c r="U254" s="2">
        <v>1995</v>
      </c>
      <c r="V254" s="2">
        <v>9</v>
      </c>
      <c r="W254" s="16">
        <f t="shared" si="33"/>
        <v>1284453</v>
      </c>
      <c r="X254" s="23">
        <f>1204410-77890+6865</f>
        <v>1133385</v>
      </c>
      <c r="Y254" s="23">
        <f>146767-19815+2949</f>
        <v>129901</v>
      </c>
      <c r="Z254" s="23">
        <f>3551-468+26</f>
        <v>3109</v>
      </c>
      <c r="AA254" s="23">
        <f>2585-180+65</f>
        <v>2470</v>
      </c>
      <c r="AB254" s="23">
        <f>17022-1733+283</f>
        <v>15572</v>
      </c>
      <c r="AC254" s="23">
        <v>2</v>
      </c>
      <c r="AD254" s="23">
        <v>14</v>
      </c>
      <c r="AE254" s="20">
        <f t="shared" si="39"/>
        <v>16</v>
      </c>
      <c r="AF254" s="20">
        <f t="shared" si="34"/>
        <v>1284437</v>
      </c>
    </row>
    <row r="255" spans="1:33">
      <c r="A255" s="2">
        <v>1995</v>
      </c>
      <c r="B255" s="2">
        <v>10</v>
      </c>
      <c r="C255" s="16">
        <f t="shared" si="31"/>
        <v>2952121</v>
      </c>
      <c r="D255" s="18">
        <v>1389479</v>
      </c>
      <c r="E255" s="18">
        <v>777035</v>
      </c>
      <c r="F255" s="18">
        <v>333717</v>
      </c>
      <c r="G255" s="18">
        <v>114586</v>
      </c>
      <c r="H255" s="19">
        <f t="shared" si="32"/>
        <v>219131</v>
      </c>
      <c r="I255" s="18">
        <v>2330</v>
      </c>
      <c r="J255" s="18">
        <v>191256</v>
      </c>
      <c r="K255" s="18">
        <v>124564</v>
      </c>
      <c r="L255" s="18">
        <v>133740</v>
      </c>
      <c r="M255" s="65">
        <v>1699601</v>
      </c>
      <c r="N255" s="20">
        <f t="shared" si="40"/>
        <v>-326675</v>
      </c>
      <c r="O255" s="20">
        <f t="shared" si="41"/>
        <v>2625446</v>
      </c>
      <c r="P255" s="65">
        <v>13109</v>
      </c>
      <c r="Q255" s="20">
        <f t="shared" si="42"/>
        <v>161952</v>
      </c>
      <c r="R255" s="24">
        <v>2800507</v>
      </c>
      <c r="S255" s="25">
        <f t="shared" si="43"/>
        <v>5.7829528724620223E-2</v>
      </c>
      <c r="T255" s="60">
        <v>1448124</v>
      </c>
      <c r="U255" s="2">
        <v>1995</v>
      </c>
      <c r="V255" s="2">
        <v>10</v>
      </c>
      <c r="W255" s="16">
        <f t="shared" si="33"/>
        <v>1264468</v>
      </c>
      <c r="X255" s="23">
        <v>1116063</v>
      </c>
      <c r="Y255" s="23">
        <v>127381</v>
      </c>
      <c r="Z255" s="23">
        <v>3073</v>
      </c>
      <c r="AA255" s="23">
        <v>2482</v>
      </c>
      <c r="AB255" s="23">
        <v>15449</v>
      </c>
      <c r="AC255" s="23">
        <v>2</v>
      </c>
      <c r="AD255" s="23">
        <v>18</v>
      </c>
      <c r="AE255" s="20">
        <f t="shared" si="39"/>
        <v>20</v>
      </c>
      <c r="AF255" s="20">
        <f t="shared" si="34"/>
        <v>1264448</v>
      </c>
    </row>
    <row r="256" spans="1:33">
      <c r="A256" s="2">
        <v>1995</v>
      </c>
      <c r="B256" s="2">
        <v>11</v>
      </c>
      <c r="C256" s="16">
        <f t="shared" si="31"/>
        <v>2514687</v>
      </c>
      <c r="D256" s="18">
        <v>1062687</v>
      </c>
      <c r="E256" s="18">
        <v>741733</v>
      </c>
      <c r="F256" s="18">
        <v>330082</v>
      </c>
      <c r="G256" s="18">
        <v>114427</v>
      </c>
      <c r="H256" s="19">
        <f t="shared" si="32"/>
        <v>215655</v>
      </c>
      <c r="I256" s="18">
        <v>2354</v>
      </c>
      <c r="J256" s="18">
        <v>182770</v>
      </c>
      <c r="K256" s="18">
        <v>91152</v>
      </c>
      <c r="L256" s="18">
        <v>103909</v>
      </c>
      <c r="M256" s="65">
        <v>1404566</v>
      </c>
      <c r="N256" s="20">
        <f t="shared" si="40"/>
        <v>-295035</v>
      </c>
      <c r="O256" s="20">
        <f t="shared" si="41"/>
        <v>2219652</v>
      </c>
      <c r="P256" s="65">
        <v>21074</v>
      </c>
      <c r="Q256" s="20">
        <f t="shared" si="42"/>
        <v>99365</v>
      </c>
      <c r="R256" s="24">
        <v>2340091</v>
      </c>
      <c r="S256" s="25">
        <f t="shared" si="43"/>
        <v>4.2462023912745277E-2</v>
      </c>
      <c r="T256" s="60">
        <v>1249678</v>
      </c>
      <c r="U256" s="2">
        <v>1995</v>
      </c>
      <c r="V256" s="2">
        <v>11</v>
      </c>
      <c r="W256" s="16">
        <f t="shared" si="33"/>
        <v>1312026</v>
      </c>
      <c r="X256" s="23">
        <v>1159977</v>
      </c>
      <c r="Y256" s="23">
        <v>130818</v>
      </c>
      <c r="Z256" s="23">
        <v>3103</v>
      </c>
      <c r="AA256" s="23">
        <v>2443</v>
      </c>
      <c r="AB256" s="23">
        <v>15667</v>
      </c>
      <c r="AC256" s="23">
        <v>3</v>
      </c>
      <c r="AD256" s="23">
        <v>15</v>
      </c>
      <c r="AE256" s="20">
        <f t="shared" si="39"/>
        <v>18</v>
      </c>
      <c r="AF256" s="20">
        <f t="shared" si="34"/>
        <v>1312008</v>
      </c>
    </row>
    <row r="257" spans="1:32">
      <c r="A257" s="26">
        <v>1995</v>
      </c>
      <c r="B257" s="26">
        <v>12</v>
      </c>
      <c r="C257" s="27">
        <f t="shared" si="31"/>
        <v>2263064</v>
      </c>
      <c r="D257" s="28">
        <v>1005094</v>
      </c>
      <c r="E257" s="28">
        <v>627762</v>
      </c>
      <c r="F257" s="28">
        <v>348483</v>
      </c>
      <c r="G257" s="28">
        <v>128538</v>
      </c>
      <c r="H257" s="29">
        <f t="shared" si="32"/>
        <v>219945</v>
      </c>
      <c r="I257" s="28">
        <v>2230</v>
      </c>
      <c r="J257" s="28">
        <v>154407</v>
      </c>
      <c r="K257" s="28">
        <v>36665</v>
      </c>
      <c r="L257" s="28">
        <v>88423</v>
      </c>
      <c r="M257" s="66">
        <v>1798050</v>
      </c>
      <c r="N257" s="47">
        <f t="shared" si="40"/>
        <v>393484</v>
      </c>
      <c r="O257" s="47">
        <f t="shared" si="41"/>
        <v>2656548</v>
      </c>
      <c r="P257" s="66">
        <v>4216</v>
      </c>
      <c r="Q257" s="47">
        <f t="shared" si="42"/>
        <v>94883</v>
      </c>
      <c r="R257" s="30">
        <v>2755647</v>
      </c>
      <c r="S257" s="31">
        <f t="shared" si="43"/>
        <v>3.4432204124838925E-2</v>
      </c>
      <c r="T257" s="60">
        <v>1586541</v>
      </c>
      <c r="U257" s="2">
        <v>1995</v>
      </c>
      <c r="V257" s="2">
        <v>12</v>
      </c>
      <c r="W257" s="16">
        <f t="shared" si="33"/>
        <v>1274066</v>
      </c>
      <c r="X257" s="23">
        <v>1127273</v>
      </c>
      <c r="Y257" s="23">
        <v>126081</v>
      </c>
      <c r="Z257" s="23">
        <v>3012</v>
      </c>
      <c r="AA257" s="23">
        <v>2395</v>
      </c>
      <c r="AB257" s="23">
        <v>15288</v>
      </c>
      <c r="AC257" s="23">
        <v>2</v>
      </c>
      <c r="AD257" s="23">
        <v>15</v>
      </c>
      <c r="AE257" s="20">
        <f t="shared" si="39"/>
        <v>17</v>
      </c>
      <c r="AF257" s="20">
        <f t="shared" si="34"/>
        <v>1274049</v>
      </c>
    </row>
    <row r="258" spans="1:32">
      <c r="A258" s="2">
        <v>1996</v>
      </c>
      <c r="B258" s="2">
        <v>1</v>
      </c>
      <c r="C258" s="16">
        <f t="shared" si="31"/>
        <v>2619842</v>
      </c>
      <c r="D258" s="18">
        <v>1431693</v>
      </c>
      <c r="E258" s="18">
        <v>610439</v>
      </c>
      <c r="F258" s="18">
        <v>319114</v>
      </c>
      <c r="G258" s="18">
        <v>119617</v>
      </c>
      <c r="H258" s="19">
        <f t="shared" si="32"/>
        <v>199497</v>
      </c>
      <c r="I258" s="18">
        <v>2252</v>
      </c>
      <c r="J258" s="18">
        <v>147889</v>
      </c>
      <c r="K258" s="18">
        <v>18831</v>
      </c>
      <c r="L258" s="18">
        <v>89624</v>
      </c>
      <c r="M258" s="23">
        <v>1731863</v>
      </c>
      <c r="N258" s="20">
        <f t="shared" si="40"/>
        <v>-66187</v>
      </c>
      <c r="O258" s="20">
        <f t="shared" si="41"/>
        <v>2553655</v>
      </c>
      <c r="P258" s="65">
        <v>20172</v>
      </c>
      <c r="Q258" s="20">
        <f t="shared" si="42"/>
        <v>276583</v>
      </c>
      <c r="R258" s="23">
        <v>2850410</v>
      </c>
      <c r="S258" s="25">
        <f t="shared" si="43"/>
        <v>9.7032707575401431E-2</v>
      </c>
      <c r="T258" s="60">
        <v>1439837</v>
      </c>
      <c r="U258" s="2">
        <v>1996</v>
      </c>
      <c r="V258" s="2">
        <v>1</v>
      </c>
      <c r="W258" s="16">
        <f t="shared" si="33"/>
        <v>1282552</v>
      </c>
      <c r="X258" s="23">
        <v>1134514</v>
      </c>
      <c r="Y258" s="23">
        <v>127267</v>
      </c>
      <c r="Z258" s="23">
        <v>3026</v>
      </c>
      <c r="AA258" s="23">
        <v>2385</v>
      </c>
      <c r="AB258" s="23">
        <v>15344</v>
      </c>
      <c r="AC258" s="23">
        <v>2</v>
      </c>
      <c r="AD258" s="23">
        <v>14</v>
      </c>
      <c r="AE258" s="20">
        <f t="shared" si="39"/>
        <v>16</v>
      </c>
      <c r="AF258" s="20">
        <f t="shared" si="34"/>
        <v>1282536</v>
      </c>
    </row>
    <row r="259" spans="1:32">
      <c r="A259" s="2">
        <v>1996</v>
      </c>
      <c r="B259" s="2">
        <v>2</v>
      </c>
      <c r="C259" s="16">
        <f t="shared" si="31"/>
        <v>2645310</v>
      </c>
      <c r="D259" s="18">
        <v>1307365</v>
      </c>
      <c r="E259" s="18">
        <f>661745</f>
        <v>661745</v>
      </c>
      <c r="F259" s="18">
        <v>334088</v>
      </c>
      <c r="G259" s="18">
        <v>114494</v>
      </c>
      <c r="H259" s="19">
        <f t="shared" si="32"/>
        <v>219594</v>
      </c>
      <c r="I259" s="18">
        <v>2257</v>
      </c>
      <c r="J259" s="18">
        <v>164429</v>
      </c>
      <c r="K259" s="18">
        <v>85101</v>
      </c>
      <c r="L259" s="18">
        <v>90325</v>
      </c>
      <c r="M259" s="23">
        <v>1683569</v>
      </c>
      <c r="N259" s="20">
        <f t="shared" si="40"/>
        <v>-48294</v>
      </c>
      <c r="O259" s="20">
        <f t="shared" si="41"/>
        <v>2597016</v>
      </c>
      <c r="P259" s="23">
        <v>11207</v>
      </c>
      <c r="Q259" s="20">
        <f t="shared" si="42"/>
        <v>51469</v>
      </c>
      <c r="R259" s="23">
        <v>2659692</v>
      </c>
      <c r="S259" s="25">
        <f t="shared" si="43"/>
        <v>1.9351488819006109E-2</v>
      </c>
      <c r="T259" s="60">
        <v>1410802</v>
      </c>
      <c r="U259" s="2">
        <v>1996</v>
      </c>
      <c r="V259" s="2">
        <v>2</v>
      </c>
      <c r="W259" s="16">
        <f t="shared" si="33"/>
        <v>1307177</v>
      </c>
      <c r="X259" s="23">
        <v>1157582</v>
      </c>
      <c r="Y259" s="23">
        <v>128692</v>
      </c>
      <c r="Z259" s="23">
        <v>2996</v>
      </c>
      <c r="AA259" s="23">
        <v>2362</v>
      </c>
      <c r="AB259" s="23">
        <v>15529</v>
      </c>
      <c r="AC259" s="23">
        <v>2</v>
      </c>
      <c r="AD259" s="23">
        <v>14</v>
      </c>
      <c r="AE259" s="20">
        <f t="shared" si="39"/>
        <v>16</v>
      </c>
      <c r="AF259" s="20">
        <f t="shared" si="34"/>
        <v>1307161</v>
      </c>
    </row>
    <row r="260" spans="1:32">
      <c r="A260" s="2">
        <v>1996</v>
      </c>
      <c r="B260" s="2">
        <v>3</v>
      </c>
      <c r="C260" s="16">
        <f t="shared" si="31"/>
        <v>2492652</v>
      </c>
      <c r="D260" s="18">
        <v>1180411</v>
      </c>
      <c r="E260" s="18">
        <v>616715</v>
      </c>
      <c r="F260" s="18">
        <v>347662</v>
      </c>
      <c r="G260" s="18">
        <v>138432</v>
      </c>
      <c r="H260" s="19">
        <f t="shared" si="32"/>
        <v>209230</v>
      </c>
      <c r="I260" s="18">
        <v>2207</v>
      </c>
      <c r="J260" s="18">
        <v>161796</v>
      </c>
      <c r="K260" s="18">
        <v>81789</v>
      </c>
      <c r="L260" s="18">
        <v>102072</v>
      </c>
      <c r="M260" s="23">
        <v>1769878</v>
      </c>
      <c r="N260" s="20">
        <f t="shared" si="40"/>
        <v>86309</v>
      </c>
      <c r="O260" s="20">
        <f t="shared" si="41"/>
        <v>2578961</v>
      </c>
      <c r="P260" s="23">
        <v>13184</v>
      </c>
      <c r="Q260" s="20">
        <f t="shared" si="42"/>
        <v>127788</v>
      </c>
      <c r="R260" s="23">
        <v>2719933</v>
      </c>
      <c r="S260" s="25">
        <f t="shared" si="43"/>
        <v>4.6982039631123268E-2</v>
      </c>
      <c r="T260" s="60">
        <v>1514288</v>
      </c>
      <c r="U260" s="2">
        <v>1996</v>
      </c>
      <c r="V260" s="2">
        <v>3</v>
      </c>
      <c r="W260" s="16">
        <f t="shared" si="33"/>
        <v>1300635</v>
      </c>
      <c r="X260" s="23">
        <v>1151354</v>
      </c>
      <c r="Y260" s="23">
        <v>128383</v>
      </c>
      <c r="Z260" s="23">
        <v>2959</v>
      </c>
      <c r="AA260" s="23">
        <v>2384</v>
      </c>
      <c r="AB260" s="23">
        <v>15539</v>
      </c>
      <c r="AC260" s="23">
        <v>2</v>
      </c>
      <c r="AD260" s="23">
        <v>14</v>
      </c>
      <c r="AE260" s="20">
        <f t="shared" si="39"/>
        <v>16</v>
      </c>
      <c r="AF260" s="20">
        <f t="shared" si="34"/>
        <v>1300619</v>
      </c>
    </row>
    <row r="261" spans="1:32">
      <c r="A261" s="2">
        <v>1996</v>
      </c>
      <c r="B261" s="2">
        <v>4</v>
      </c>
      <c r="C261" s="16">
        <f t="shared" si="31"/>
        <v>2401100</v>
      </c>
      <c r="D261" s="9">
        <v>1047283</v>
      </c>
      <c r="E261" s="9">
        <v>655624</v>
      </c>
      <c r="F261" s="9">
        <v>349343</v>
      </c>
      <c r="G261" s="9">
        <v>138929</v>
      </c>
      <c r="H261" s="19">
        <f t="shared" si="32"/>
        <v>210414</v>
      </c>
      <c r="I261" s="9">
        <v>2219</v>
      </c>
      <c r="J261" s="9">
        <v>168038</v>
      </c>
      <c r="K261" s="9">
        <v>73834</v>
      </c>
      <c r="L261" s="9">
        <v>104759</v>
      </c>
      <c r="M261" s="23">
        <v>1610924</v>
      </c>
      <c r="N261" s="20">
        <f t="shared" si="40"/>
        <v>-158954</v>
      </c>
      <c r="O261" s="20">
        <f t="shared" si="41"/>
        <v>2242146</v>
      </c>
      <c r="P261" s="23">
        <v>15949</v>
      </c>
      <c r="Q261" s="20">
        <f t="shared" si="42"/>
        <v>138220</v>
      </c>
      <c r="R261" s="23">
        <v>2396315</v>
      </c>
      <c r="S261" s="25">
        <f t="shared" si="43"/>
        <v>5.7680229852920005E-2</v>
      </c>
      <c r="T261" s="60">
        <v>1428920</v>
      </c>
      <c r="U261" s="2">
        <v>1996</v>
      </c>
      <c r="V261" s="2">
        <v>4</v>
      </c>
      <c r="W261" s="16">
        <f t="shared" si="33"/>
        <v>1293755</v>
      </c>
      <c r="X261" s="23">
        <v>1144162</v>
      </c>
      <c r="Y261" s="23">
        <v>128622</v>
      </c>
      <c r="Z261" s="23">
        <v>3001</v>
      </c>
      <c r="AA261" s="23">
        <v>2341</v>
      </c>
      <c r="AB261" s="23">
        <v>15613</v>
      </c>
      <c r="AC261" s="23">
        <v>2</v>
      </c>
      <c r="AD261" s="23">
        <v>14</v>
      </c>
      <c r="AE261" s="20">
        <f t="shared" si="39"/>
        <v>16</v>
      </c>
      <c r="AF261" s="20">
        <f t="shared" si="34"/>
        <v>1293739</v>
      </c>
    </row>
    <row r="262" spans="1:32">
      <c r="A262" s="2">
        <v>1996</v>
      </c>
      <c r="B262" s="2">
        <v>5</v>
      </c>
      <c r="C262" s="16">
        <f t="shared" si="31"/>
        <v>2432601</v>
      </c>
      <c r="D262" s="9">
        <v>1040873</v>
      </c>
      <c r="E262" s="9">
        <v>696298</v>
      </c>
      <c r="F262" s="9">
        <v>368380</v>
      </c>
      <c r="G262" s="9">
        <v>116247</v>
      </c>
      <c r="H262" s="19">
        <f t="shared" si="32"/>
        <v>252133</v>
      </c>
      <c r="I262" s="9">
        <v>2245</v>
      </c>
      <c r="J262" s="9">
        <v>180093</v>
      </c>
      <c r="K262" s="9">
        <v>46606</v>
      </c>
      <c r="L262" s="9">
        <v>98106</v>
      </c>
      <c r="M262" s="23">
        <v>2114233</v>
      </c>
      <c r="N262" s="20">
        <f t="shared" si="40"/>
        <v>503309</v>
      </c>
      <c r="O262" s="20">
        <f t="shared" si="41"/>
        <v>2935910</v>
      </c>
      <c r="P262" s="23">
        <v>20918</v>
      </c>
      <c r="Q262" s="20">
        <f t="shared" si="42"/>
        <v>112028</v>
      </c>
      <c r="R262" s="23">
        <v>3068856</v>
      </c>
      <c r="S262" s="25">
        <f t="shared" si="43"/>
        <v>3.6504808306417766E-2</v>
      </c>
      <c r="T262" s="60">
        <v>1896476</v>
      </c>
      <c r="U262" s="2">
        <v>1996</v>
      </c>
      <c r="V262" s="2">
        <v>5</v>
      </c>
      <c r="W262" s="16">
        <f t="shared" si="33"/>
        <v>1257659</v>
      </c>
      <c r="X262" s="23">
        <v>1111360</v>
      </c>
      <c r="Y262" s="23">
        <v>125862</v>
      </c>
      <c r="Z262" s="23">
        <v>2879</v>
      </c>
      <c r="AA262" s="23">
        <v>2320</v>
      </c>
      <c r="AB262" s="23">
        <v>15222</v>
      </c>
      <c r="AC262" s="23">
        <v>2</v>
      </c>
      <c r="AD262" s="23">
        <v>14</v>
      </c>
      <c r="AE262" s="20">
        <f t="shared" si="39"/>
        <v>16</v>
      </c>
      <c r="AF262" s="20">
        <f t="shared" si="34"/>
        <v>1257643</v>
      </c>
    </row>
    <row r="263" spans="1:32">
      <c r="A263" s="2">
        <v>1996</v>
      </c>
      <c r="B263" s="2">
        <v>6</v>
      </c>
      <c r="C263" s="16">
        <f t="shared" si="31"/>
        <v>3014492</v>
      </c>
      <c r="D263" s="9">
        <v>1452937</v>
      </c>
      <c r="E263" s="9">
        <v>863366</v>
      </c>
      <c r="F263" s="9">
        <v>382108</v>
      </c>
      <c r="G263" s="9">
        <v>120133</v>
      </c>
      <c r="H263" s="19">
        <f t="shared" si="32"/>
        <v>261975</v>
      </c>
      <c r="I263" s="9">
        <v>2281</v>
      </c>
      <c r="J263" s="9">
        <v>203289</v>
      </c>
      <c r="K263" s="9">
        <v>5474</v>
      </c>
      <c r="L263" s="9">
        <v>105037</v>
      </c>
      <c r="M263" s="23">
        <v>1985290</v>
      </c>
      <c r="N263" s="20">
        <f t="shared" si="40"/>
        <v>-128943</v>
      </c>
      <c r="O263" s="20">
        <f t="shared" si="41"/>
        <v>2885549</v>
      </c>
      <c r="P263" s="23">
        <v>13645</v>
      </c>
      <c r="Q263" s="20">
        <f t="shared" si="42"/>
        <v>213235</v>
      </c>
      <c r="R263" s="23">
        <v>3112429</v>
      </c>
      <c r="S263" s="25">
        <f t="shared" si="43"/>
        <v>6.8510799764428365E-2</v>
      </c>
      <c r="T263" s="60">
        <v>1684811</v>
      </c>
      <c r="U263" s="2">
        <v>1996</v>
      </c>
      <c r="V263" s="2">
        <v>6</v>
      </c>
      <c r="W263" s="16">
        <f t="shared" si="33"/>
        <v>1308353</v>
      </c>
      <c r="X263" s="23">
        <v>1154834</v>
      </c>
      <c r="Y263" s="23">
        <v>132255</v>
      </c>
      <c r="Z263" s="23">
        <v>2993</v>
      </c>
      <c r="AA263" s="23">
        <v>2312</v>
      </c>
      <c r="AB263" s="23">
        <v>15943</v>
      </c>
      <c r="AC263" s="23">
        <v>2</v>
      </c>
      <c r="AD263" s="23">
        <v>14</v>
      </c>
      <c r="AE263" s="20">
        <f t="shared" si="39"/>
        <v>16</v>
      </c>
      <c r="AF263" s="20">
        <f t="shared" ref="AF263:AF326" si="44">SUM(X263:AB263)</f>
        <v>1308337</v>
      </c>
    </row>
    <row r="264" spans="1:32">
      <c r="A264" s="2">
        <v>1996</v>
      </c>
      <c r="B264" s="2">
        <v>7</v>
      </c>
      <c r="C264" s="16">
        <f t="shared" si="31"/>
        <v>3011654</v>
      </c>
      <c r="D264" s="9">
        <v>1455529</v>
      </c>
      <c r="E264" s="9">
        <v>825363</v>
      </c>
      <c r="F264" s="9">
        <v>355078</v>
      </c>
      <c r="G264" s="9">
        <v>131126</v>
      </c>
      <c r="H264" s="19">
        <f t="shared" si="32"/>
        <v>223952</v>
      </c>
      <c r="I264" s="9">
        <v>2232</v>
      </c>
      <c r="J264" s="9">
        <v>187980</v>
      </c>
      <c r="K264" s="9">
        <v>74301</v>
      </c>
      <c r="L264" s="9">
        <v>111171</v>
      </c>
      <c r="M264" s="23">
        <v>2430155</v>
      </c>
      <c r="N264" s="20">
        <f t="shared" si="40"/>
        <v>444865</v>
      </c>
      <c r="O264" s="20">
        <f t="shared" si="41"/>
        <v>3456519</v>
      </c>
      <c r="P264" s="23">
        <v>8911</v>
      </c>
      <c r="Q264" s="20">
        <f t="shared" si="42"/>
        <v>108102</v>
      </c>
      <c r="R264" s="23">
        <v>3573532</v>
      </c>
      <c r="S264" s="25">
        <f t="shared" si="43"/>
        <v>3.0250743522095228E-2</v>
      </c>
      <c r="T264" s="60">
        <v>2044233</v>
      </c>
      <c r="U264" s="2">
        <v>1996</v>
      </c>
      <c r="V264" s="2">
        <v>7</v>
      </c>
      <c r="W264" s="16">
        <f t="shared" si="33"/>
        <v>1245662</v>
      </c>
      <c r="X264" s="23">
        <f>1086163+13072</f>
        <v>1099235</v>
      </c>
      <c r="Y264" s="23">
        <f>124511+1538</f>
        <v>126049</v>
      </c>
      <c r="Z264" s="23">
        <f>2807+12</f>
        <v>2819</v>
      </c>
      <c r="AA264" s="23">
        <v>2312</v>
      </c>
      <c r="AB264" s="23">
        <f>15097+134</f>
        <v>15231</v>
      </c>
      <c r="AC264" s="23">
        <v>2</v>
      </c>
      <c r="AD264" s="23">
        <v>14</v>
      </c>
      <c r="AE264" s="20">
        <f t="shared" si="39"/>
        <v>16</v>
      </c>
      <c r="AF264" s="20">
        <f t="shared" si="44"/>
        <v>1245646</v>
      </c>
    </row>
    <row r="265" spans="1:32">
      <c r="A265" s="2">
        <v>1996</v>
      </c>
      <c r="B265" s="2">
        <v>8</v>
      </c>
      <c r="C265" s="16">
        <f t="shared" si="31"/>
        <v>3353101</v>
      </c>
      <c r="D265" s="9">
        <v>1688121</v>
      </c>
      <c r="E265" s="9">
        <v>887587</v>
      </c>
      <c r="F265" s="9">
        <v>361779</v>
      </c>
      <c r="G265" s="9">
        <v>124075</v>
      </c>
      <c r="H265" s="19">
        <f t="shared" si="32"/>
        <v>237704</v>
      </c>
      <c r="I265" s="9">
        <v>2212</v>
      </c>
      <c r="J265" s="9">
        <v>203094</v>
      </c>
      <c r="K265" s="9">
        <v>88177</v>
      </c>
      <c r="L265" s="9">
        <v>122131</v>
      </c>
      <c r="M265" s="23">
        <v>2284180</v>
      </c>
      <c r="N265" s="20">
        <f t="shared" si="40"/>
        <v>-145975</v>
      </c>
      <c r="O265" s="20">
        <f t="shared" si="41"/>
        <v>3207126</v>
      </c>
      <c r="P265" s="23">
        <v>7531</v>
      </c>
      <c r="Q265" s="20">
        <f t="shared" si="42"/>
        <v>231854</v>
      </c>
      <c r="R265" s="23">
        <v>3446511</v>
      </c>
      <c r="S265" s="25">
        <f t="shared" si="43"/>
        <v>6.7272090528653475E-2</v>
      </c>
      <c r="T265" s="60">
        <v>1887033</v>
      </c>
      <c r="U265" s="2">
        <v>1996</v>
      </c>
      <c r="V265" s="2">
        <v>8</v>
      </c>
      <c r="W265" s="16">
        <f t="shared" si="33"/>
        <v>1305089</v>
      </c>
      <c r="X265" s="23">
        <f>1164641-13072</f>
        <v>1151569</v>
      </c>
      <c r="Y265" s="23">
        <f>133751-1538</f>
        <v>132213</v>
      </c>
      <c r="Z265" s="23">
        <f>2965-12</f>
        <v>2953</v>
      </c>
      <c r="AA265" s="23">
        <v>2311</v>
      </c>
      <c r="AB265" s="23">
        <f>16161-134</f>
        <v>16027</v>
      </c>
      <c r="AC265" s="23">
        <v>2</v>
      </c>
      <c r="AD265" s="23">
        <v>14</v>
      </c>
      <c r="AE265" s="20">
        <f t="shared" si="39"/>
        <v>16</v>
      </c>
      <c r="AF265" s="20">
        <f t="shared" si="44"/>
        <v>1305073</v>
      </c>
    </row>
    <row r="266" spans="1:32">
      <c r="A266" s="2">
        <v>1996</v>
      </c>
      <c r="B266" s="2">
        <v>9</v>
      </c>
      <c r="C266" s="16">
        <f t="shared" si="31"/>
        <v>3243695</v>
      </c>
      <c r="D266" s="9">
        <v>1538545</v>
      </c>
      <c r="E266" s="9">
        <v>844210</v>
      </c>
      <c r="F266" s="9">
        <v>377666</v>
      </c>
      <c r="G266" s="9">
        <v>146668</v>
      </c>
      <c r="H266" s="19">
        <f t="shared" si="32"/>
        <v>230998</v>
      </c>
      <c r="I266" s="9">
        <v>2169</v>
      </c>
      <c r="J266" s="9">
        <v>205115</v>
      </c>
      <c r="K266" s="9">
        <v>134472</v>
      </c>
      <c r="L266" s="9">
        <v>141518</v>
      </c>
      <c r="M266" s="23">
        <v>2002367</v>
      </c>
      <c r="N266" s="20">
        <f t="shared" si="40"/>
        <v>-281813</v>
      </c>
      <c r="O266" s="20">
        <f t="shared" si="41"/>
        <v>2961882</v>
      </c>
      <c r="P266" s="23">
        <v>15624</v>
      </c>
      <c r="Q266" s="20">
        <f t="shared" si="42"/>
        <v>232124</v>
      </c>
      <c r="R266" s="23">
        <v>3209630</v>
      </c>
      <c r="S266" s="25">
        <f t="shared" si="43"/>
        <v>7.2321108663615435E-2</v>
      </c>
      <c r="T266" s="60">
        <v>1677763</v>
      </c>
      <c r="U266" s="2">
        <v>1996</v>
      </c>
      <c r="V266" s="2">
        <v>9</v>
      </c>
      <c r="W266" s="16">
        <f t="shared" si="33"/>
        <v>1285672</v>
      </c>
      <c r="X266" s="23">
        <v>1134334</v>
      </c>
      <c r="Y266" s="23">
        <v>130252</v>
      </c>
      <c r="Z266" s="23">
        <v>2880</v>
      </c>
      <c r="AA266" s="23">
        <v>2303</v>
      </c>
      <c r="AB266" s="23">
        <v>15886</v>
      </c>
      <c r="AC266" s="23">
        <v>2</v>
      </c>
      <c r="AD266" s="23">
        <v>15</v>
      </c>
      <c r="AE266" s="20">
        <f t="shared" si="39"/>
        <v>17</v>
      </c>
      <c r="AF266" s="20">
        <f t="shared" si="44"/>
        <v>1285655</v>
      </c>
    </row>
    <row r="267" spans="1:32">
      <c r="A267" s="2">
        <v>1996</v>
      </c>
      <c r="B267" s="2">
        <v>10</v>
      </c>
      <c r="C267" s="16">
        <f t="shared" si="31"/>
        <v>2811909</v>
      </c>
      <c r="D267" s="9">
        <v>1236438</v>
      </c>
      <c r="E267" s="9">
        <v>759400</v>
      </c>
      <c r="F267" s="9">
        <v>341405</v>
      </c>
      <c r="G267" s="9">
        <v>122436</v>
      </c>
      <c r="H267" s="19">
        <f t="shared" si="32"/>
        <v>218969</v>
      </c>
      <c r="I267" s="9">
        <v>2236</v>
      </c>
      <c r="J267" s="9">
        <v>209707</v>
      </c>
      <c r="K267" s="9">
        <v>104884</v>
      </c>
      <c r="L267" s="9">
        <v>157839</v>
      </c>
      <c r="M267" s="23">
        <v>1737527</v>
      </c>
      <c r="N267" s="20">
        <f t="shared" si="40"/>
        <v>-264840</v>
      </c>
      <c r="O267" s="20">
        <f t="shared" si="41"/>
        <v>2547069</v>
      </c>
      <c r="P267" s="23">
        <v>13013</v>
      </c>
      <c r="Q267" s="20">
        <f t="shared" si="42"/>
        <v>114953</v>
      </c>
      <c r="R267" s="23">
        <v>2675035</v>
      </c>
      <c r="S267" s="25">
        <f t="shared" si="43"/>
        <v>4.2972521854854236E-2</v>
      </c>
      <c r="T267" s="60">
        <v>1553780</v>
      </c>
      <c r="U267" s="2">
        <v>1996</v>
      </c>
      <c r="V267" s="2">
        <v>10</v>
      </c>
      <c r="W267" s="16">
        <f t="shared" si="33"/>
        <v>1272725</v>
      </c>
      <c r="X267" s="23">
        <v>1123321</v>
      </c>
      <c r="Y267" s="23">
        <v>128577</v>
      </c>
      <c r="Z267" s="23">
        <v>2812</v>
      </c>
      <c r="AA267" s="23">
        <v>2279</v>
      </c>
      <c r="AB267" s="23">
        <v>15717</v>
      </c>
      <c r="AC267" s="23">
        <v>2</v>
      </c>
      <c r="AD267" s="23">
        <v>17</v>
      </c>
      <c r="AE267" s="20">
        <f t="shared" si="39"/>
        <v>19</v>
      </c>
      <c r="AF267" s="20">
        <f t="shared" si="44"/>
        <v>1272706</v>
      </c>
    </row>
    <row r="268" spans="1:32">
      <c r="A268" s="2">
        <v>1996</v>
      </c>
      <c r="B268" s="2">
        <v>11</v>
      </c>
      <c r="C268" s="16">
        <f t="shared" si="31"/>
        <v>2542130</v>
      </c>
      <c r="D268" s="9">
        <v>1053716</v>
      </c>
      <c r="E268" s="9">
        <v>755534</v>
      </c>
      <c r="F268" s="9">
        <v>377617</v>
      </c>
      <c r="G268" s="9">
        <v>151431</v>
      </c>
      <c r="H268" s="19">
        <f t="shared" si="32"/>
        <v>226186</v>
      </c>
      <c r="I268" s="9">
        <v>2164</v>
      </c>
      <c r="J268" s="9">
        <v>194052</v>
      </c>
      <c r="K268" s="9">
        <v>87177</v>
      </c>
      <c r="L268" s="9">
        <v>71870</v>
      </c>
      <c r="M268" s="23">
        <v>1412614</v>
      </c>
      <c r="N268" s="20">
        <f t="shared" si="40"/>
        <v>-324913</v>
      </c>
      <c r="O268" s="20">
        <f t="shared" si="41"/>
        <v>2217217</v>
      </c>
      <c r="P268" s="23">
        <v>13538</v>
      </c>
      <c r="Q268" s="20">
        <f t="shared" si="42"/>
        <v>138788</v>
      </c>
      <c r="R268" s="23">
        <v>2369543</v>
      </c>
      <c r="S268" s="25">
        <f t="shared" si="43"/>
        <v>5.857163174502425E-2</v>
      </c>
      <c r="T268" s="60">
        <v>1286083</v>
      </c>
      <c r="U268" s="2">
        <v>1996</v>
      </c>
      <c r="V268" s="2">
        <v>11</v>
      </c>
      <c r="W268" s="16">
        <f t="shared" si="33"/>
        <v>1327858</v>
      </c>
      <c r="X268" s="23">
        <v>1172051</v>
      </c>
      <c r="Y268" s="23">
        <v>134299</v>
      </c>
      <c r="Z268" s="23">
        <v>2958</v>
      </c>
      <c r="AA268" s="23">
        <v>2273</v>
      </c>
      <c r="AB268" s="23">
        <v>16261</v>
      </c>
      <c r="AC268" s="23">
        <v>2</v>
      </c>
      <c r="AD268" s="23">
        <v>14</v>
      </c>
      <c r="AE268" s="20">
        <f t="shared" si="39"/>
        <v>16</v>
      </c>
      <c r="AF268" s="20">
        <f t="shared" si="44"/>
        <v>1327842</v>
      </c>
    </row>
    <row r="269" spans="1:32" s="26" customFormat="1">
      <c r="A269" s="26">
        <v>1996</v>
      </c>
      <c r="B269" s="26">
        <v>12</v>
      </c>
      <c r="C269" s="27">
        <f t="shared" si="31"/>
        <v>2305058</v>
      </c>
      <c r="D269" s="32">
        <v>1048461</v>
      </c>
      <c r="E269" s="32">
        <v>671736</v>
      </c>
      <c r="F269" s="32">
        <v>309453</v>
      </c>
      <c r="G269" s="32">
        <v>87900</v>
      </c>
      <c r="H269" s="29">
        <f t="shared" si="32"/>
        <v>221553</v>
      </c>
      <c r="I269" s="32">
        <v>1815</v>
      </c>
      <c r="J269" s="32">
        <v>179943</v>
      </c>
      <c r="K269" s="32">
        <v>13302</v>
      </c>
      <c r="L269" s="32">
        <v>80348</v>
      </c>
      <c r="M269" s="33">
        <v>1574230</v>
      </c>
      <c r="N269" s="47">
        <f t="shared" si="40"/>
        <v>161616</v>
      </c>
      <c r="O269" s="47">
        <f t="shared" si="41"/>
        <v>2466674</v>
      </c>
      <c r="P269" s="33">
        <v>11653</v>
      </c>
      <c r="Q269" s="47">
        <f t="shared" si="42"/>
        <v>155241</v>
      </c>
      <c r="R269" s="33">
        <v>2633568</v>
      </c>
      <c r="S269" s="31">
        <f t="shared" si="43"/>
        <v>5.8947025480260998E-2</v>
      </c>
      <c r="T269" s="70">
        <v>1414893</v>
      </c>
      <c r="U269" s="26">
        <v>1996</v>
      </c>
      <c r="V269" s="26">
        <v>12</v>
      </c>
      <c r="W269" s="27">
        <f t="shared" si="33"/>
        <v>1317743</v>
      </c>
      <c r="X269" s="33">
        <v>1165740</v>
      </c>
      <c r="Y269" s="33">
        <v>130814</v>
      </c>
      <c r="Z269" s="33">
        <v>2850</v>
      </c>
      <c r="AA269" s="33">
        <v>2265</v>
      </c>
      <c r="AB269" s="33">
        <v>16059</v>
      </c>
      <c r="AC269" s="33">
        <v>2</v>
      </c>
      <c r="AD269" s="33">
        <v>13</v>
      </c>
      <c r="AE269" s="20">
        <f t="shared" si="39"/>
        <v>15</v>
      </c>
      <c r="AF269" s="20">
        <f t="shared" si="44"/>
        <v>1317728</v>
      </c>
    </row>
    <row r="270" spans="1:32">
      <c r="A270" s="2">
        <v>1997</v>
      </c>
      <c r="B270" s="2">
        <v>1</v>
      </c>
      <c r="C270" s="16">
        <f t="shared" si="31"/>
        <v>2527231</v>
      </c>
      <c r="D270" s="9">
        <v>1223345</v>
      </c>
      <c r="E270" s="9">
        <v>673653</v>
      </c>
      <c r="F270" s="9">
        <v>362334</v>
      </c>
      <c r="G270" s="9">
        <v>142709</v>
      </c>
      <c r="H270" s="19">
        <f t="shared" si="32"/>
        <v>219625</v>
      </c>
      <c r="I270" s="9">
        <v>2191</v>
      </c>
      <c r="J270" s="9">
        <v>166803</v>
      </c>
      <c r="K270" s="9">
        <v>7876</v>
      </c>
      <c r="L270" s="9">
        <v>91029</v>
      </c>
      <c r="M270" s="23">
        <v>1585103</v>
      </c>
      <c r="N270" s="20">
        <f t="shared" si="40"/>
        <v>10873</v>
      </c>
      <c r="O270" s="20">
        <f t="shared" ref="O270:O289" si="45">(C270+N270)</f>
        <v>2538104</v>
      </c>
      <c r="P270" s="23">
        <v>13325</v>
      </c>
      <c r="Q270" s="20">
        <f t="shared" si="42"/>
        <v>159635</v>
      </c>
      <c r="R270" s="23">
        <v>2711064</v>
      </c>
      <c r="S270" s="25">
        <f t="shared" si="43"/>
        <v>5.8882785504141548E-2</v>
      </c>
      <c r="T270" s="60">
        <v>1383802</v>
      </c>
      <c r="U270" s="2">
        <v>1997</v>
      </c>
      <c r="V270" s="2">
        <v>1</v>
      </c>
      <c r="W270" s="16">
        <f t="shared" si="33"/>
        <v>1317219</v>
      </c>
      <c r="X270" s="23">
        <v>1165838</v>
      </c>
      <c r="Y270" s="23">
        <v>130339</v>
      </c>
      <c r="Z270" s="23">
        <v>2852</v>
      </c>
      <c r="AA270" s="23">
        <v>2253</v>
      </c>
      <c r="AB270" s="23">
        <v>15921</v>
      </c>
      <c r="AC270" s="23">
        <v>2</v>
      </c>
      <c r="AD270" s="23">
        <v>14</v>
      </c>
      <c r="AE270" s="20">
        <f t="shared" si="39"/>
        <v>16</v>
      </c>
      <c r="AF270" s="20">
        <f t="shared" si="44"/>
        <v>1317203</v>
      </c>
    </row>
    <row r="271" spans="1:32">
      <c r="A271" s="2">
        <v>1997</v>
      </c>
      <c r="B271" s="2">
        <v>2</v>
      </c>
      <c r="C271" s="16">
        <f t="shared" si="31"/>
        <v>2388112</v>
      </c>
      <c r="D271" s="9">
        <v>1089567</v>
      </c>
      <c r="E271" s="9">
        <v>631549</v>
      </c>
      <c r="F271" s="9">
        <v>356567</v>
      </c>
      <c r="G271" s="9">
        <v>132205</v>
      </c>
      <c r="H271" s="19">
        <f t="shared" si="32"/>
        <v>224362</v>
      </c>
      <c r="I271" s="9">
        <v>2084</v>
      </c>
      <c r="J271" s="9">
        <v>168794</v>
      </c>
      <c r="K271" s="9">
        <v>48733</v>
      </c>
      <c r="L271" s="9">
        <v>90818</v>
      </c>
      <c r="M271" s="23">
        <v>1321743</v>
      </c>
      <c r="N271" s="20">
        <f t="shared" si="40"/>
        <v>-263360</v>
      </c>
      <c r="O271" s="20">
        <f t="shared" si="45"/>
        <v>2124752</v>
      </c>
      <c r="P271" s="23">
        <v>11207</v>
      </c>
      <c r="Q271" s="20">
        <f t="shared" si="42"/>
        <v>113714</v>
      </c>
      <c r="R271" s="23">
        <v>2249673</v>
      </c>
      <c r="S271" s="25">
        <f t="shared" si="43"/>
        <v>5.0546901705270056E-2</v>
      </c>
      <c r="T271" s="60">
        <v>1181643</v>
      </c>
      <c r="U271" s="2">
        <v>1997</v>
      </c>
      <c r="V271" s="2">
        <v>2</v>
      </c>
      <c r="W271" s="16">
        <f t="shared" si="33"/>
        <v>1318594</v>
      </c>
      <c r="X271" s="23">
        <v>1166077</v>
      </c>
      <c r="Y271" s="23">
        <v>131374</v>
      </c>
      <c r="Z271" s="23">
        <v>2847</v>
      </c>
      <c r="AA271" s="23">
        <v>2261</v>
      </c>
      <c r="AB271" s="23">
        <v>16019</v>
      </c>
      <c r="AC271" s="23">
        <v>2</v>
      </c>
      <c r="AD271" s="23">
        <v>14</v>
      </c>
      <c r="AE271" s="20">
        <f t="shared" si="39"/>
        <v>16</v>
      </c>
      <c r="AF271" s="20">
        <f t="shared" si="44"/>
        <v>1318578</v>
      </c>
    </row>
    <row r="272" spans="1:32">
      <c r="A272" s="2">
        <v>1997</v>
      </c>
      <c r="B272" s="2">
        <v>3</v>
      </c>
      <c r="C272" s="16">
        <f t="shared" si="31"/>
        <v>2312790</v>
      </c>
      <c r="D272" s="9">
        <v>983355</v>
      </c>
      <c r="E272" s="9">
        <f>689227</f>
        <v>689227</v>
      </c>
      <c r="F272" s="9">
        <v>331011</v>
      </c>
      <c r="G272" s="9">
        <v>108847</v>
      </c>
      <c r="H272" s="19">
        <f t="shared" si="32"/>
        <v>222164</v>
      </c>
      <c r="I272" s="9">
        <v>2448</v>
      </c>
      <c r="J272" s="9">
        <f>175058+23</f>
        <v>175081</v>
      </c>
      <c r="K272" s="9">
        <v>57826</v>
      </c>
      <c r="L272" s="8">
        <v>73842</v>
      </c>
      <c r="M272" s="23">
        <v>1409122</v>
      </c>
      <c r="N272" s="20">
        <f t="shared" si="40"/>
        <v>87379</v>
      </c>
      <c r="O272" s="20">
        <f t="shared" si="45"/>
        <v>2400169</v>
      </c>
      <c r="P272" s="67">
        <v>14908</v>
      </c>
      <c r="Q272" s="20">
        <f t="shared" si="42"/>
        <v>144636</v>
      </c>
      <c r="R272" s="35">
        <v>2559713</v>
      </c>
      <c r="S272" s="25">
        <f t="shared" si="43"/>
        <v>5.6504772214697505E-2</v>
      </c>
      <c r="T272" s="60">
        <v>1344202</v>
      </c>
      <c r="U272" s="2">
        <v>1997</v>
      </c>
      <c r="V272" s="2">
        <v>3</v>
      </c>
      <c r="W272" s="16">
        <f t="shared" si="33"/>
        <v>1328889</v>
      </c>
      <c r="X272" s="23">
        <v>1176603</v>
      </c>
      <c r="Y272" s="23">
        <v>130956</v>
      </c>
      <c r="Z272" s="23">
        <v>2858</v>
      </c>
      <c r="AA272" s="23">
        <v>2254</v>
      </c>
      <c r="AB272" s="23">
        <v>16202</v>
      </c>
      <c r="AC272" s="23">
        <v>2</v>
      </c>
      <c r="AD272" s="23">
        <v>14</v>
      </c>
      <c r="AE272" s="20">
        <f t="shared" si="39"/>
        <v>16</v>
      </c>
      <c r="AF272" s="20">
        <f t="shared" si="44"/>
        <v>1328873</v>
      </c>
    </row>
    <row r="273" spans="1:32">
      <c r="A273" s="2">
        <v>1997</v>
      </c>
      <c r="B273" s="2">
        <v>4</v>
      </c>
      <c r="C273" s="16">
        <f t="shared" si="31"/>
        <v>2344986</v>
      </c>
      <c r="D273" s="9">
        <v>997123</v>
      </c>
      <c r="E273" s="9">
        <v>734392</v>
      </c>
      <c r="F273" s="9">
        <v>352429</v>
      </c>
      <c r="G273" s="9">
        <v>115034</v>
      </c>
      <c r="H273" s="19">
        <f t="shared" si="32"/>
        <v>237395</v>
      </c>
      <c r="I273" s="9">
        <v>2085</v>
      </c>
      <c r="J273" s="9">
        <v>182337</v>
      </c>
      <c r="K273" s="9">
        <v>11764</v>
      </c>
      <c r="L273" s="9">
        <v>64856</v>
      </c>
      <c r="M273" s="67">
        <v>1313483</v>
      </c>
      <c r="N273" s="20">
        <f t="shared" si="40"/>
        <v>-95639</v>
      </c>
      <c r="O273" s="20">
        <f t="shared" si="45"/>
        <v>2249347</v>
      </c>
      <c r="P273" s="67">
        <v>12426</v>
      </c>
      <c r="Q273" s="20">
        <f t="shared" si="42"/>
        <v>131460</v>
      </c>
      <c r="R273" s="35">
        <v>2393233</v>
      </c>
      <c r="S273" s="25">
        <f t="shared" si="43"/>
        <v>5.4929879372380377E-2</v>
      </c>
      <c r="T273" s="60">
        <v>1253872</v>
      </c>
      <c r="U273" s="2">
        <v>1997</v>
      </c>
      <c r="V273" s="2">
        <v>4</v>
      </c>
      <c r="W273" s="16">
        <f t="shared" si="33"/>
        <v>1303836</v>
      </c>
      <c r="X273" s="23">
        <v>1151977</v>
      </c>
      <c r="Y273" s="23">
        <v>130604</v>
      </c>
      <c r="Z273" s="23">
        <v>2857</v>
      </c>
      <c r="AA273" s="23">
        <v>2242</v>
      </c>
      <c r="AB273" s="23">
        <v>16140</v>
      </c>
      <c r="AC273" s="23">
        <v>2</v>
      </c>
      <c r="AD273" s="23">
        <v>14</v>
      </c>
      <c r="AE273" s="20">
        <f t="shared" si="39"/>
        <v>16</v>
      </c>
      <c r="AF273" s="20">
        <f t="shared" si="44"/>
        <v>1303820</v>
      </c>
    </row>
    <row r="274" spans="1:32">
      <c r="A274" s="2">
        <v>1997</v>
      </c>
      <c r="B274" s="2">
        <v>5</v>
      </c>
      <c r="C274" s="16">
        <f t="shared" si="31"/>
        <v>2342371</v>
      </c>
      <c r="D274" s="9">
        <v>1024053</v>
      </c>
      <c r="E274" s="9">
        <v>713865</v>
      </c>
      <c r="F274" s="9">
        <v>353513</v>
      </c>
      <c r="G274" s="9">
        <v>115827</v>
      </c>
      <c r="H274" s="19">
        <f t="shared" si="32"/>
        <v>237686</v>
      </c>
      <c r="I274" s="9">
        <v>2262</v>
      </c>
      <c r="J274" s="9">
        <v>181365</v>
      </c>
      <c r="K274" s="9">
        <v>6263</v>
      </c>
      <c r="L274" s="9">
        <v>61050</v>
      </c>
      <c r="M274" s="23">
        <v>1789454</v>
      </c>
      <c r="N274" s="20">
        <f t="shared" si="40"/>
        <v>475971</v>
      </c>
      <c r="O274" s="20">
        <f t="shared" si="45"/>
        <v>2818342</v>
      </c>
      <c r="P274" s="67">
        <v>10094</v>
      </c>
      <c r="Q274" s="20">
        <f t="shared" si="42"/>
        <v>120475</v>
      </c>
      <c r="R274" s="23">
        <v>2948911</v>
      </c>
      <c r="S274" s="25">
        <f t="shared" ref="S274:S302" si="46">(Q274/R274)</f>
        <v>4.0854064432599015E-2</v>
      </c>
      <c r="T274" s="60">
        <v>1665151</v>
      </c>
      <c r="U274" s="2">
        <v>1997</v>
      </c>
      <c r="V274" s="2">
        <v>5</v>
      </c>
      <c r="W274" s="16">
        <f t="shared" si="33"/>
        <v>1313781</v>
      </c>
      <c r="X274" s="23">
        <v>1159480</v>
      </c>
      <c r="Y274" s="23">
        <v>132816</v>
      </c>
      <c r="Z274" s="23">
        <v>2828</v>
      </c>
      <c r="AA274" s="23">
        <v>2216</v>
      </c>
      <c r="AB274" s="23">
        <v>16425</v>
      </c>
      <c r="AC274" s="23">
        <v>2</v>
      </c>
      <c r="AD274" s="23">
        <v>14</v>
      </c>
      <c r="AE274" s="20">
        <f t="shared" si="39"/>
        <v>16</v>
      </c>
      <c r="AF274" s="20">
        <f t="shared" si="44"/>
        <v>1313765</v>
      </c>
    </row>
    <row r="275" spans="1:32">
      <c r="A275" s="2">
        <v>1997</v>
      </c>
      <c r="B275" s="2">
        <v>6</v>
      </c>
      <c r="C275" s="16">
        <f t="shared" si="31"/>
        <v>2820996</v>
      </c>
      <c r="D275" s="9">
        <v>1342512</v>
      </c>
      <c r="E275" s="9">
        <v>820712</v>
      </c>
      <c r="F275" s="9">
        <v>368181</v>
      </c>
      <c r="G275" s="9">
        <v>118451</v>
      </c>
      <c r="H275" s="19">
        <f t="shared" si="32"/>
        <v>249730</v>
      </c>
      <c r="I275" s="9">
        <v>2239</v>
      </c>
      <c r="J275" s="9">
        <v>199486</v>
      </c>
      <c r="K275" s="9">
        <v>3700</v>
      </c>
      <c r="L275" s="9">
        <v>84166</v>
      </c>
      <c r="M275" s="23">
        <v>2022203</v>
      </c>
      <c r="N275" s="20">
        <f t="shared" si="40"/>
        <v>232749</v>
      </c>
      <c r="O275" s="20">
        <f t="shared" si="45"/>
        <v>3053745</v>
      </c>
      <c r="P275" s="23">
        <v>9751</v>
      </c>
      <c r="Q275" s="20">
        <f t="shared" si="42"/>
        <v>128861</v>
      </c>
      <c r="R275" s="23">
        <v>3192357</v>
      </c>
      <c r="S275" s="25">
        <f t="shared" si="46"/>
        <v>4.0365472909201568E-2</v>
      </c>
      <c r="T275" s="60">
        <v>1805753</v>
      </c>
      <c r="U275" s="2">
        <v>1997</v>
      </c>
      <c r="V275" s="2">
        <v>6</v>
      </c>
      <c r="W275" s="16">
        <f t="shared" si="33"/>
        <v>1300263</v>
      </c>
      <c r="X275" s="23">
        <v>1147094</v>
      </c>
      <c r="Y275" s="23">
        <v>131782</v>
      </c>
      <c r="Z275" s="23">
        <v>2856</v>
      </c>
      <c r="AA275" s="23">
        <v>2204</v>
      </c>
      <c r="AB275" s="23">
        <v>16311</v>
      </c>
      <c r="AC275" s="23">
        <v>2</v>
      </c>
      <c r="AD275" s="23">
        <v>14</v>
      </c>
      <c r="AE275" s="20">
        <f t="shared" ref="AE275:AE338" si="47">SUM(AC275:AD275)</f>
        <v>16</v>
      </c>
      <c r="AF275" s="20">
        <f t="shared" si="44"/>
        <v>1300247</v>
      </c>
    </row>
    <row r="276" spans="1:32">
      <c r="A276" s="2">
        <v>1997</v>
      </c>
      <c r="B276" s="2">
        <v>7</v>
      </c>
      <c r="C276" s="16">
        <f t="shared" si="31"/>
        <v>3156833</v>
      </c>
      <c r="D276" s="9">
        <v>1590264</v>
      </c>
      <c r="E276" s="9">
        <v>885434</v>
      </c>
      <c r="F276" s="9">
        <v>355864</v>
      </c>
      <c r="G276" s="9">
        <v>115274</v>
      </c>
      <c r="H276" s="19">
        <f t="shared" si="32"/>
        <v>240590</v>
      </c>
      <c r="I276" s="9">
        <v>2242</v>
      </c>
      <c r="J276" s="9">
        <v>198030</v>
      </c>
      <c r="K276" s="9">
        <v>49376</v>
      </c>
      <c r="L276" s="9">
        <v>75623</v>
      </c>
      <c r="M276" s="23">
        <v>2194869</v>
      </c>
      <c r="N276" s="20">
        <f t="shared" si="40"/>
        <v>172666</v>
      </c>
      <c r="O276" s="20">
        <f t="shared" si="45"/>
        <v>3329499</v>
      </c>
      <c r="P276" s="23">
        <v>10634</v>
      </c>
      <c r="Q276" s="20">
        <f t="shared" si="42"/>
        <v>272435</v>
      </c>
      <c r="R276" s="23">
        <v>3612568</v>
      </c>
      <c r="S276" s="25">
        <f t="shared" si="46"/>
        <v>7.5413113331015497E-2</v>
      </c>
      <c r="T276" s="60">
        <v>1855415</v>
      </c>
      <c r="U276" s="2">
        <v>1997</v>
      </c>
      <c r="V276" s="2">
        <v>7</v>
      </c>
      <c r="W276" s="16">
        <f t="shared" si="33"/>
        <v>1292199</v>
      </c>
      <c r="X276" s="23">
        <v>1139049</v>
      </c>
      <c r="Y276" s="23">
        <v>131950</v>
      </c>
      <c r="Z276" s="23">
        <v>2820</v>
      </c>
      <c r="AA276" s="23">
        <v>2186</v>
      </c>
      <c r="AB276" s="23">
        <v>16176</v>
      </c>
      <c r="AC276" s="23">
        <v>3</v>
      </c>
      <c r="AD276" s="23">
        <v>15</v>
      </c>
      <c r="AE276" s="20">
        <f t="shared" si="47"/>
        <v>18</v>
      </c>
      <c r="AF276" s="20">
        <f t="shared" si="44"/>
        <v>1292181</v>
      </c>
    </row>
    <row r="277" spans="1:32">
      <c r="A277" s="2">
        <v>1997</v>
      </c>
      <c r="B277" s="2">
        <v>8</v>
      </c>
      <c r="C277" s="16">
        <f t="shared" si="31"/>
        <v>3226213</v>
      </c>
      <c r="D277" s="9">
        <v>1604536</v>
      </c>
      <c r="E277" s="9">
        <v>871638</v>
      </c>
      <c r="F277" s="9">
        <v>353659</v>
      </c>
      <c r="G277" s="9">
        <v>115042</v>
      </c>
      <c r="H277" s="19">
        <f t="shared" si="32"/>
        <v>238617</v>
      </c>
      <c r="I277" s="9">
        <v>2269</v>
      </c>
      <c r="J277" s="9">
        <v>203793</v>
      </c>
      <c r="K277" s="9">
        <v>92110</v>
      </c>
      <c r="L277" s="9">
        <v>98208</v>
      </c>
      <c r="M277" s="23">
        <v>2440081</v>
      </c>
      <c r="N277" s="20">
        <f t="shared" si="40"/>
        <v>245212</v>
      </c>
      <c r="O277" s="20">
        <f t="shared" si="45"/>
        <v>3471425</v>
      </c>
      <c r="P277" s="23">
        <v>12449</v>
      </c>
      <c r="Q277" s="20">
        <f t="shared" si="42"/>
        <v>160396</v>
      </c>
      <c r="R277" s="23">
        <v>3644270</v>
      </c>
      <c r="S277" s="25">
        <f t="shared" si="46"/>
        <v>4.4013204290571227E-2</v>
      </c>
      <c r="T277" s="60">
        <v>2038498</v>
      </c>
      <c r="U277" s="2">
        <v>1997</v>
      </c>
      <c r="V277" s="2">
        <v>8</v>
      </c>
      <c r="W277" s="16">
        <f t="shared" si="33"/>
        <v>1308516</v>
      </c>
      <c r="X277" s="23">
        <v>1154151</v>
      </c>
      <c r="Y277" s="23">
        <v>132796</v>
      </c>
      <c r="Z277" s="23">
        <v>2797</v>
      </c>
      <c r="AA277" s="23">
        <v>2203</v>
      </c>
      <c r="AB277" s="23">
        <v>16551</v>
      </c>
      <c r="AC277" s="23">
        <v>3</v>
      </c>
      <c r="AD277" s="23">
        <v>15</v>
      </c>
      <c r="AE277" s="20">
        <f t="shared" si="47"/>
        <v>18</v>
      </c>
      <c r="AF277" s="20">
        <f t="shared" si="44"/>
        <v>1308498</v>
      </c>
    </row>
    <row r="278" spans="1:32">
      <c r="A278" s="2">
        <v>1997</v>
      </c>
      <c r="B278" s="2">
        <v>9</v>
      </c>
      <c r="C278" s="16">
        <f t="shared" si="31"/>
        <v>3340984</v>
      </c>
      <c r="D278" s="9">
        <v>1606676</v>
      </c>
      <c r="E278" s="9">
        <v>894532</v>
      </c>
      <c r="F278" s="9">
        <v>348896</v>
      </c>
      <c r="G278" s="9">
        <v>112342</v>
      </c>
      <c r="H278" s="19">
        <f t="shared" si="32"/>
        <v>236554</v>
      </c>
      <c r="I278" s="9">
        <v>2260</v>
      </c>
      <c r="J278" s="9">
        <v>221235</v>
      </c>
      <c r="K278" s="9">
        <v>146546</v>
      </c>
      <c r="L278" s="9">
        <v>120839</v>
      </c>
      <c r="M278" s="23">
        <v>2255489</v>
      </c>
      <c r="N278" s="20">
        <f t="shared" si="40"/>
        <v>-184592</v>
      </c>
      <c r="O278" s="20">
        <f t="shared" si="45"/>
        <v>3156392</v>
      </c>
      <c r="P278" s="23">
        <v>11920</v>
      </c>
      <c r="Q278" s="20">
        <f t="shared" si="42"/>
        <v>192034</v>
      </c>
      <c r="R278" s="23">
        <v>3360346</v>
      </c>
      <c r="S278" s="25">
        <f t="shared" si="46"/>
        <v>5.7147091400706951E-2</v>
      </c>
      <c r="T278" s="60">
        <v>1880553</v>
      </c>
      <c r="U278" s="2">
        <v>1997</v>
      </c>
      <c r="V278" s="2">
        <v>9</v>
      </c>
      <c r="W278" s="16">
        <f t="shared" si="33"/>
        <v>1289773</v>
      </c>
      <c r="X278" s="23">
        <v>1136127</v>
      </c>
      <c r="Y278" s="23">
        <v>132275</v>
      </c>
      <c r="Z278" s="23">
        <v>2819</v>
      </c>
      <c r="AA278" s="23">
        <v>2206</v>
      </c>
      <c r="AB278" s="23">
        <v>16328</v>
      </c>
      <c r="AC278" s="23">
        <v>3</v>
      </c>
      <c r="AD278" s="23">
        <v>15</v>
      </c>
      <c r="AE278" s="20">
        <f t="shared" si="47"/>
        <v>18</v>
      </c>
      <c r="AF278" s="20">
        <f t="shared" si="44"/>
        <v>1289755</v>
      </c>
    </row>
    <row r="279" spans="1:32">
      <c r="A279" s="2">
        <v>1997</v>
      </c>
      <c r="B279" s="2">
        <v>10</v>
      </c>
      <c r="C279" s="16">
        <f t="shared" si="31"/>
        <v>3170547</v>
      </c>
      <c r="D279" s="9">
        <v>1465107</v>
      </c>
      <c r="E279" s="9">
        <v>872440</v>
      </c>
      <c r="F279" s="9">
        <v>364023</v>
      </c>
      <c r="G279" s="9">
        <v>113267</v>
      </c>
      <c r="H279" s="19">
        <f t="shared" si="32"/>
        <v>250756</v>
      </c>
      <c r="I279" s="9">
        <v>2279</v>
      </c>
      <c r="J279" s="9">
        <v>222313</v>
      </c>
      <c r="K279" s="9">
        <v>143124</v>
      </c>
      <c r="L279" s="9">
        <v>101261</v>
      </c>
      <c r="M279" s="23">
        <v>1767411</v>
      </c>
      <c r="N279" s="20">
        <f t="shared" si="40"/>
        <v>-488078</v>
      </c>
      <c r="O279" s="20">
        <f t="shared" si="45"/>
        <v>2682469</v>
      </c>
      <c r="P279" s="23">
        <v>67224</v>
      </c>
      <c r="Q279" s="20">
        <f t="shared" si="42"/>
        <v>66657</v>
      </c>
      <c r="R279" s="23">
        <v>2816350</v>
      </c>
      <c r="S279" s="25">
        <f t="shared" si="46"/>
        <v>2.3667867985158096E-2</v>
      </c>
      <c r="T279" s="60">
        <v>1518250</v>
      </c>
      <c r="U279" s="2">
        <v>1997</v>
      </c>
      <c r="V279" s="2">
        <v>10</v>
      </c>
      <c r="W279" s="16">
        <f t="shared" si="33"/>
        <v>1320051</v>
      </c>
      <c r="X279" s="23">
        <v>1164489</v>
      </c>
      <c r="Y279" s="23">
        <v>134112</v>
      </c>
      <c r="Z279" s="23">
        <v>2815</v>
      </c>
      <c r="AA279" s="23">
        <v>2197</v>
      </c>
      <c r="AB279" s="23">
        <v>16420</v>
      </c>
      <c r="AC279" s="23">
        <v>3</v>
      </c>
      <c r="AD279" s="23">
        <v>15</v>
      </c>
      <c r="AE279" s="20">
        <f t="shared" si="47"/>
        <v>18</v>
      </c>
      <c r="AF279" s="20">
        <f t="shared" si="44"/>
        <v>1320033</v>
      </c>
    </row>
    <row r="280" spans="1:32">
      <c r="A280" s="2">
        <v>1997</v>
      </c>
      <c r="B280" s="2">
        <v>11</v>
      </c>
      <c r="C280" s="16">
        <f t="shared" ref="C280:C404" si="48">SUM(D280:F280,I280:L280)</f>
        <v>2600054</v>
      </c>
      <c r="D280" s="9">
        <v>1054612</v>
      </c>
      <c r="E280" s="9">
        <v>767858</v>
      </c>
      <c r="F280" s="9">
        <v>357393</v>
      </c>
      <c r="G280" s="9">
        <v>128619</v>
      </c>
      <c r="H280" s="19">
        <f t="shared" ref="H280:H404" si="49">(F280-G280)</f>
        <v>228774</v>
      </c>
      <c r="I280" s="9">
        <v>2247</v>
      </c>
      <c r="J280" s="9">
        <v>196571</v>
      </c>
      <c r="K280" s="9">
        <v>117335</v>
      </c>
      <c r="L280" s="9">
        <v>104038</v>
      </c>
      <c r="M280" s="23">
        <v>1563072</v>
      </c>
      <c r="N280" s="20">
        <f t="shared" si="40"/>
        <v>-204339</v>
      </c>
      <c r="O280" s="20">
        <f t="shared" si="45"/>
        <v>2395715</v>
      </c>
      <c r="P280" s="23">
        <v>17343</v>
      </c>
      <c r="Q280" s="20">
        <f t="shared" si="42"/>
        <v>-49934</v>
      </c>
      <c r="R280" s="23">
        <v>2363124</v>
      </c>
      <c r="S280" s="25">
        <f t="shared" si="46"/>
        <v>-2.1130503519916854E-2</v>
      </c>
      <c r="T280" s="60">
        <v>1339936</v>
      </c>
      <c r="U280" s="2">
        <v>1997</v>
      </c>
      <c r="V280" s="2">
        <v>11</v>
      </c>
      <c r="W280" s="16">
        <f t="shared" ref="W280:W341" si="50">SUM(X280:AD280)</f>
        <v>1360902</v>
      </c>
      <c r="X280" s="23">
        <v>1200705</v>
      </c>
      <c r="Y280" s="23">
        <v>138179</v>
      </c>
      <c r="Z280" s="23">
        <v>2870</v>
      </c>
      <c r="AA280" s="23">
        <v>2183</v>
      </c>
      <c r="AB280" s="23">
        <v>16948</v>
      </c>
      <c r="AC280" s="23">
        <v>2</v>
      </c>
      <c r="AD280" s="23">
        <v>15</v>
      </c>
      <c r="AE280" s="20">
        <f t="shared" si="47"/>
        <v>17</v>
      </c>
      <c r="AF280" s="20">
        <f t="shared" si="44"/>
        <v>1360885</v>
      </c>
    </row>
    <row r="281" spans="1:32" s="26" customFormat="1">
      <c r="A281" s="26">
        <v>1997</v>
      </c>
      <c r="B281" s="26">
        <v>12</v>
      </c>
      <c r="C281" s="27">
        <f t="shared" si="48"/>
        <v>2377278</v>
      </c>
      <c r="D281" s="32">
        <v>1098627</v>
      </c>
      <c r="E281" s="32">
        <v>702016</v>
      </c>
      <c r="F281" s="32">
        <v>283915</v>
      </c>
      <c r="G281" s="32">
        <v>67538</v>
      </c>
      <c r="H281" s="29">
        <f t="shared" si="49"/>
        <v>216377</v>
      </c>
      <c r="I281" s="32">
        <v>2277</v>
      </c>
      <c r="J281" s="32">
        <v>182698</v>
      </c>
      <c r="K281" s="32">
        <v>38289</v>
      </c>
      <c r="L281" s="32">
        <v>69456</v>
      </c>
      <c r="M281" s="33">
        <v>1581332</v>
      </c>
      <c r="N281" s="47">
        <f t="shared" si="40"/>
        <v>18260</v>
      </c>
      <c r="O281" s="47">
        <f t="shared" si="45"/>
        <v>2395538</v>
      </c>
      <c r="P281" s="33">
        <v>17544</v>
      </c>
      <c r="Q281" s="47">
        <f t="shared" si="42"/>
        <v>340572</v>
      </c>
      <c r="R281" s="33">
        <v>2753654</v>
      </c>
      <c r="S281" s="31">
        <f t="shared" si="46"/>
        <v>0.12368002661191276</v>
      </c>
      <c r="T281" s="70">
        <v>1429957</v>
      </c>
      <c r="U281" s="26">
        <v>1997</v>
      </c>
      <c r="V281" s="26">
        <v>12</v>
      </c>
      <c r="W281" s="27">
        <f t="shared" si="50"/>
        <v>1320077</v>
      </c>
      <c r="X281" s="33">
        <v>1165738</v>
      </c>
      <c r="Y281" s="33">
        <v>132867</v>
      </c>
      <c r="Z281" s="33">
        <v>2739</v>
      </c>
      <c r="AA281" s="33">
        <v>2182</v>
      </c>
      <c r="AB281" s="33">
        <v>16536</v>
      </c>
      <c r="AC281" s="33">
        <v>2</v>
      </c>
      <c r="AD281" s="33">
        <v>13</v>
      </c>
      <c r="AE281" s="20">
        <f t="shared" si="47"/>
        <v>15</v>
      </c>
      <c r="AF281" s="20">
        <f t="shared" si="44"/>
        <v>1320062</v>
      </c>
    </row>
    <row r="282" spans="1:32">
      <c r="A282" s="2">
        <v>1998</v>
      </c>
      <c r="B282" s="2">
        <v>1</v>
      </c>
      <c r="C282" s="16">
        <f t="shared" si="48"/>
        <v>2599353</v>
      </c>
      <c r="D282" s="9">
        <v>1288514</v>
      </c>
      <c r="E282" s="9">
        <v>711050</v>
      </c>
      <c r="F282" s="9">
        <v>328555</v>
      </c>
      <c r="G282" s="9">
        <v>108003</v>
      </c>
      <c r="H282" s="19">
        <f t="shared" si="49"/>
        <v>220552</v>
      </c>
      <c r="I282" s="9">
        <v>2173</v>
      </c>
      <c r="J282" s="9">
        <v>174911</v>
      </c>
      <c r="K282" s="9">
        <v>9171</v>
      </c>
      <c r="L282" s="9">
        <v>84979</v>
      </c>
      <c r="M282" s="23">
        <v>1501563</v>
      </c>
      <c r="N282" s="20">
        <f t="shared" si="40"/>
        <v>-79769</v>
      </c>
      <c r="O282" s="20">
        <f t="shared" si="45"/>
        <v>2519584</v>
      </c>
      <c r="P282" s="23">
        <v>20898</v>
      </c>
      <c r="Q282" s="20">
        <f t="shared" si="42"/>
        <v>98990</v>
      </c>
      <c r="R282" s="23">
        <v>2639472</v>
      </c>
      <c r="S282" s="25">
        <f t="shared" si="46"/>
        <v>3.7503712863784879E-2</v>
      </c>
      <c r="T282" s="60">
        <v>1330037</v>
      </c>
      <c r="U282" s="2">
        <v>1998</v>
      </c>
      <c r="V282" s="2">
        <v>1</v>
      </c>
      <c r="W282" s="16">
        <f t="shared" si="50"/>
        <v>1332712</v>
      </c>
      <c r="X282" s="23">
        <v>1177765</v>
      </c>
      <c r="Y282" s="23">
        <v>133555</v>
      </c>
      <c r="Z282" s="23">
        <v>2736</v>
      </c>
      <c r="AA282" s="23">
        <v>2170</v>
      </c>
      <c r="AB282" s="23">
        <v>16470</v>
      </c>
      <c r="AC282" s="23">
        <v>2</v>
      </c>
      <c r="AD282" s="23">
        <v>14</v>
      </c>
      <c r="AE282" s="20">
        <f t="shared" si="47"/>
        <v>16</v>
      </c>
      <c r="AF282" s="20">
        <f t="shared" si="44"/>
        <v>1332696</v>
      </c>
    </row>
    <row r="283" spans="1:32">
      <c r="A283" s="2">
        <v>1998</v>
      </c>
      <c r="B283" s="2">
        <v>2</v>
      </c>
      <c r="C283" s="16">
        <f t="shared" si="48"/>
        <v>2457348</v>
      </c>
      <c r="D283" s="9">
        <v>1162567</v>
      </c>
      <c r="E283" s="9">
        <v>656259</v>
      </c>
      <c r="F283" s="36">
        <v>318626</v>
      </c>
      <c r="G283" s="36">
        <v>112505</v>
      </c>
      <c r="H283" s="19">
        <f t="shared" si="49"/>
        <v>206121</v>
      </c>
      <c r="I283" s="9">
        <v>2338</v>
      </c>
      <c r="J283" s="9">
        <v>168728</v>
      </c>
      <c r="K283" s="9">
        <v>66995</v>
      </c>
      <c r="L283" s="9">
        <v>81835</v>
      </c>
      <c r="M283" s="23">
        <v>1407495</v>
      </c>
      <c r="N283" s="20">
        <f t="shared" si="40"/>
        <v>-94068</v>
      </c>
      <c r="O283" s="20">
        <f t="shared" si="45"/>
        <v>2363280</v>
      </c>
      <c r="P283" s="23">
        <v>11522</v>
      </c>
      <c r="Q283" s="20">
        <f t="shared" si="42"/>
        <v>102788</v>
      </c>
      <c r="R283" s="23">
        <v>2477590</v>
      </c>
      <c r="S283" s="25">
        <f t="shared" si="46"/>
        <v>4.1487090277245224E-2</v>
      </c>
      <c r="T283" s="60">
        <v>1269118</v>
      </c>
      <c r="U283" s="2">
        <v>1998</v>
      </c>
      <c r="V283" s="2">
        <v>2</v>
      </c>
      <c r="W283" s="16">
        <f t="shared" si="50"/>
        <v>1358722</v>
      </c>
      <c r="X283" s="23">
        <v>1201153</v>
      </c>
      <c r="Y283" s="23">
        <v>135969</v>
      </c>
      <c r="Z283" s="23">
        <v>2744</v>
      </c>
      <c r="AA283" s="23">
        <v>2160</v>
      </c>
      <c r="AB283" s="23">
        <v>16680</v>
      </c>
      <c r="AC283" s="23">
        <v>2</v>
      </c>
      <c r="AD283" s="23">
        <v>14</v>
      </c>
      <c r="AE283" s="20">
        <f t="shared" si="47"/>
        <v>16</v>
      </c>
      <c r="AF283" s="20">
        <f t="shared" si="44"/>
        <v>1358706</v>
      </c>
    </row>
    <row r="284" spans="1:32">
      <c r="A284" s="2">
        <v>1998</v>
      </c>
      <c r="B284" s="2">
        <v>3</v>
      </c>
      <c r="C284" s="16">
        <f t="shared" si="48"/>
        <v>2391510</v>
      </c>
      <c r="D284" s="9">
        <v>1104706</v>
      </c>
      <c r="E284" s="34">
        <v>663566</v>
      </c>
      <c r="F284" s="36">
        <v>335690</v>
      </c>
      <c r="G284" s="36">
        <v>112430</v>
      </c>
      <c r="H284" s="19">
        <f t="shared" si="49"/>
        <v>223260</v>
      </c>
      <c r="I284" s="9">
        <v>2273</v>
      </c>
      <c r="J284" s="9">
        <v>179554</v>
      </c>
      <c r="K284" s="9">
        <v>38755</v>
      </c>
      <c r="L284" s="9">
        <v>66966</v>
      </c>
      <c r="M284" s="23">
        <v>1574963</v>
      </c>
      <c r="N284" s="20">
        <f t="shared" si="40"/>
        <v>167468</v>
      </c>
      <c r="O284" s="20">
        <f t="shared" si="45"/>
        <v>2558978</v>
      </c>
      <c r="P284" s="23">
        <v>10631</v>
      </c>
      <c r="Q284" s="20">
        <f t="shared" si="42"/>
        <v>156788</v>
      </c>
      <c r="R284" s="23">
        <v>2726397</v>
      </c>
      <c r="S284" s="25">
        <f t="shared" si="46"/>
        <v>5.750739895913911E-2</v>
      </c>
      <c r="T284" s="60">
        <v>1428352</v>
      </c>
      <c r="U284" s="2">
        <v>1998</v>
      </c>
      <c r="V284" s="2">
        <v>3</v>
      </c>
      <c r="W284" s="16">
        <f t="shared" si="50"/>
        <v>1337062</v>
      </c>
      <c r="X284" s="23">
        <v>1181995</v>
      </c>
      <c r="Y284" s="23">
        <v>133618</v>
      </c>
      <c r="Z284" s="23">
        <v>2739</v>
      </c>
      <c r="AA284" s="23">
        <v>2157</v>
      </c>
      <c r="AB284" s="23">
        <v>16537</v>
      </c>
      <c r="AC284" s="23">
        <v>2</v>
      </c>
      <c r="AD284" s="23">
        <v>14</v>
      </c>
      <c r="AE284" s="20">
        <f t="shared" si="47"/>
        <v>16</v>
      </c>
      <c r="AF284" s="20">
        <f t="shared" si="44"/>
        <v>1337046</v>
      </c>
    </row>
    <row r="285" spans="1:32">
      <c r="A285" s="2">
        <v>1998</v>
      </c>
      <c r="B285" s="2">
        <v>4</v>
      </c>
      <c r="C285" s="16">
        <f t="shared" si="48"/>
        <v>2542880</v>
      </c>
      <c r="D285" s="9">
        <v>1111939</v>
      </c>
      <c r="E285" s="9">
        <v>756050</v>
      </c>
      <c r="F285" s="36">
        <v>373889</v>
      </c>
      <c r="G285" s="36">
        <v>130713</v>
      </c>
      <c r="H285" s="19">
        <f t="shared" si="49"/>
        <v>243176</v>
      </c>
      <c r="I285" s="9">
        <v>2317</v>
      </c>
      <c r="J285" s="9">
        <v>186495</v>
      </c>
      <c r="K285" s="9">
        <v>45186</v>
      </c>
      <c r="L285" s="9">
        <v>67004</v>
      </c>
      <c r="M285" s="23">
        <v>1505716</v>
      </c>
      <c r="N285" s="20">
        <f t="shared" si="40"/>
        <v>-69247</v>
      </c>
      <c r="O285" s="20">
        <f t="shared" si="45"/>
        <v>2473633</v>
      </c>
      <c r="P285" s="23">
        <v>12400</v>
      </c>
      <c r="Q285" s="20">
        <f t="shared" si="42"/>
        <v>126193</v>
      </c>
      <c r="R285" s="23">
        <v>2612226</v>
      </c>
      <c r="S285" s="25">
        <f t="shared" si="46"/>
        <v>4.8308607295080901E-2</v>
      </c>
      <c r="T285" s="60">
        <v>1370979</v>
      </c>
      <c r="U285" s="2">
        <v>1998</v>
      </c>
      <c r="V285" s="2">
        <v>4</v>
      </c>
      <c r="W285" s="16">
        <f t="shared" si="50"/>
        <v>1360323</v>
      </c>
      <c r="X285" s="23">
        <v>1200264</v>
      </c>
      <c r="Y285" s="23">
        <v>138143</v>
      </c>
      <c r="Z285" s="23">
        <v>2764</v>
      </c>
      <c r="AA285" s="23">
        <v>2157</v>
      </c>
      <c r="AB285" s="23">
        <v>16979</v>
      </c>
      <c r="AC285" s="23">
        <v>2</v>
      </c>
      <c r="AD285" s="23">
        <v>14</v>
      </c>
      <c r="AE285" s="20">
        <f t="shared" si="47"/>
        <v>16</v>
      </c>
      <c r="AF285" s="20">
        <f t="shared" si="44"/>
        <v>1360307</v>
      </c>
    </row>
    <row r="286" spans="1:32">
      <c r="A286" s="2">
        <v>1998</v>
      </c>
      <c r="B286" s="2">
        <v>5</v>
      </c>
      <c r="C286" s="16">
        <f t="shared" si="48"/>
        <v>2602991</v>
      </c>
      <c r="D286" s="9">
        <v>1111182</v>
      </c>
      <c r="E286" s="9">
        <v>807648</v>
      </c>
      <c r="F286" s="37">
        <v>368448</v>
      </c>
      <c r="G286" s="38">
        <v>128748</v>
      </c>
      <c r="H286" s="19">
        <f t="shared" si="49"/>
        <v>239700</v>
      </c>
      <c r="I286" s="9">
        <v>2246</v>
      </c>
      <c r="J286" s="9">
        <v>192902</v>
      </c>
      <c r="K286" s="9">
        <v>44010</v>
      </c>
      <c r="L286" s="9">
        <v>76555</v>
      </c>
      <c r="M286" s="23">
        <v>2005189</v>
      </c>
      <c r="N286" s="20">
        <f t="shared" si="40"/>
        <v>499473</v>
      </c>
      <c r="O286" s="20">
        <f t="shared" si="45"/>
        <v>3102464</v>
      </c>
      <c r="P286" s="23">
        <v>9523</v>
      </c>
      <c r="Q286" s="20">
        <f t="shared" si="42"/>
        <v>168835</v>
      </c>
      <c r="R286" s="23">
        <v>3280822</v>
      </c>
      <c r="S286" s="25">
        <f t="shared" si="46"/>
        <v>5.1461188689907587E-2</v>
      </c>
      <c r="T286" s="60">
        <v>1785979</v>
      </c>
      <c r="U286" s="2">
        <v>1998</v>
      </c>
      <c r="V286" s="2">
        <v>5</v>
      </c>
      <c r="W286" s="16">
        <f t="shared" si="50"/>
        <v>1317801</v>
      </c>
      <c r="X286" s="23">
        <v>1161098</v>
      </c>
      <c r="Y286" s="23">
        <v>135212</v>
      </c>
      <c r="Z286" s="23">
        <v>2675</v>
      </c>
      <c r="AA286" s="23">
        <v>2149</v>
      </c>
      <c r="AB286" s="23">
        <v>16651</v>
      </c>
      <c r="AC286" s="23">
        <v>2</v>
      </c>
      <c r="AD286" s="23">
        <v>14</v>
      </c>
      <c r="AE286" s="20">
        <f t="shared" si="47"/>
        <v>16</v>
      </c>
      <c r="AF286" s="20">
        <f t="shared" si="44"/>
        <v>1317785</v>
      </c>
    </row>
    <row r="287" spans="1:32">
      <c r="A287" s="2">
        <v>1998</v>
      </c>
      <c r="B287" s="2">
        <v>6</v>
      </c>
      <c r="C287" s="16">
        <f t="shared" si="48"/>
        <v>3280084</v>
      </c>
      <c r="D287" s="9">
        <v>1636604</v>
      </c>
      <c r="E287" s="9">
        <v>934001</v>
      </c>
      <c r="F287" s="39">
        <v>377900</v>
      </c>
      <c r="G287" s="39">
        <v>131950</v>
      </c>
      <c r="H287" s="19">
        <f t="shared" si="49"/>
        <v>245950</v>
      </c>
      <c r="I287" s="9">
        <v>2237</v>
      </c>
      <c r="J287" s="9">
        <v>221670</v>
      </c>
      <c r="K287" s="9">
        <v>16934</v>
      </c>
      <c r="L287" s="9">
        <v>90738</v>
      </c>
      <c r="M287" s="23">
        <v>2553439</v>
      </c>
      <c r="N287" s="20">
        <f t="shared" si="40"/>
        <v>548250</v>
      </c>
      <c r="O287" s="20">
        <f t="shared" si="45"/>
        <v>3828334</v>
      </c>
      <c r="P287" s="23">
        <v>9968</v>
      </c>
      <c r="Q287" s="20">
        <f t="shared" si="42"/>
        <v>215340</v>
      </c>
      <c r="R287" s="23">
        <v>4053642</v>
      </c>
      <c r="S287" s="25">
        <f t="shared" si="46"/>
        <v>5.3122599381001084E-2</v>
      </c>
      <c r="T287" s="60">
        <v>2109544</v>
      </c>
      <c r="U287" s="2">
        <v>1998</v>
      </c>
      <c r="V287" s="2">
        <v>6</v>
      </c>
      <c r="W287" s="16">
        <f t="shared" si="50"/>
        <v>1324450</v>
      </c>
      <c r="X287" s="23">
        <v>1167586</v>
      </c>
      <c r="Y287" s="23">
        <v>135329</v>
      </c>
      <c r="Z287" s="23">
        <v>2690</v>
      </c>
      <c r="AA287" s="23">
        <v>2138</v>
      </c>
      <c r="AB287" s="23">
        <v>16690</v>
      </c>
      <c r="AC287" s="23">
        <v>2</v>
      </c>
      <c r="AD287" s="23">
        <v>15</v>
      </c>
      <c r="AE287" s="20">
        <f t="shared" si="47"/>
        <v>17</v>
      </c>
      <c r="AF287" s="20">
        <f t="shared" si="44"/>
        <v>1324433</v>
      </c>
    </row>
    <row r="288" spans="1:32">
      <c r="A288" s="2">
        <v>1998</v>
      </c>
      <c r="B288" s="2">
        <v>7</v>
      </c>
      <c r="C288" s="16">
        <f t="shared" si="48"/>
        <v>3574298</v>
      </c>
      <c r="D288" s="9">
        <v>1793059</v>
      </c>
      <c r="E288" s="9">
        <v>951850</v>
      </c>
      <c r="F288" s="39">
        <v>362865</v>
      </c>
      <c r="G288" s="38">
        <v>129929</v>
      </c>
      <c r="H288" s="19">
        <f t="shared" si="49"/>
        <v>232936</v>
      </c>
      <c r="I288" s="9">
        <v>2243</v>
      </c>
      <c r="J288" s="9">
        <v>216112</v>
      </c>
      <c r="K288" s="9">
        <v>121119</v>
      </c>
      <c r="L288" s="9">
        <v>127050</v>
      </c>
      <c r="M288" s="23">
        <v>2616682</v>
      </c>
      <c r="N288" s="20">
        <f t="shared" si="40"/>
        <v>63243</v>
      </c>
      <c r="O288" s="20">
        <f t="shared" si="45"/>
        <v>3637541</v>
      </c>
      <c r="P288" s="23">
        <v>25195</v>
      </c>
      <c r="Q288" s="20">
        <f t="shared" si="42"/>
        <v>328056</v>
      </c>
      <c r="R288" s="23">
        <v>3990792</v>
      </c>
      <c r="S288" s="25">
        <f t="shared" si="46"/>
        <v>8.2203231839694982E-2</v>
      </c>
      <c r="T288" s="60">
        <v>1999317</v>
      </c>
      <c r="U288" s="2">
        <v>1998</v>
      </c>
      <c r="V288" s="2">
        <v>7</v>
      </c>
      <c r="W288" s="16">
        <f t="shared" si="50"/>
        <v>1317166</v>
      </c>
      <c r="X288" s="23">
        <v>1160442</v>
      </c>
      <c r="Y288" s="23">
        <v>135175</v>
      </c>
      <c r="Z288" s="23">
        <v>2665</v>
      </c>
      <c r="AA288" s="23">
        <v>2125</v>
      </c>
      <c r="AB288" s="23">
        <v>16741</v>
      </c>
      <c r="AC288" s="23">
        <v>3</v>
      </c>
      <c r="AD288" s="23">
        <v>15</v>
      </c>
      <c r="AE288" s="20">
        <f t="shared" si="47"/>
        <v>18</v>
      </c>
      <c r="AF288" s="20">
        <f t="shared" si="44"/>
        <v>1317148</v>
      </c>
    </row>
    <row r="289" spans="1:32">
      <c r="A289" s="2">
        <v>1998</v>
      </c>
      <c r="B289" s="2">
        <v>8</v>
      </c>
      <c r="C289" s="16">
        <f t="shared" si="48"/>
        <v>3827049</v>
      </c>
      <c r="D289" s="9">
        <v>1802172</v>
      </c>
      <c r="E289" s="9">
        <v>1006236</v>
      </c>
      <c r="F289" s="39">
        <v>388967</v>
      </c>
      <c r="G289" s="39">
        <v>138918</v>
      </c>
      <c r="H289" s="19">
        <f t="shared" si="49"/>
        <v>250049</v>
      </c>
      <c r="I289" s="9">
        <v>2203</v>
      </c>
      <c r="J289" s="9">
        <v>229199</v>
      </c>
      <c r="K289" s="9">
        <v>233985</v>
      </c>
      <c r="L289" s="9">
        <v>164287</v>
      </c>
      <c r="M289" s="23">
        <v>2709669</v>
      </c>
      <c r="N289" s="20">
        <f t="shared" si="40"/>
        <v>92987</v>
      </c>
      <c r="O289" s="20">
        <f t="shared" si="45"/>
        <v>3920036</v>
      </c>
      <c r="P289" s="23">
        <v>14842</v>
      </c>
      <c r="Q289" s="20">
        <f t="shared" si="42"/>
        <v>27391</v>
      </c>
      <c r="R289" s="23">
        <v>3962269</v>
      </c>
      <c r="S289" s="25">
        <f t="shared" si="46"/>
        <v>6.9129582065225762E-3</v>
      </c>
      <c r="T289" s="60">
        <v>2165789</v>
      </c>
      <c r="U289" s="2">
        <v>1998</v>
      </c>
      <c r="V289" s="2">
        <v>8</v>
      </c>
      <c r="W289" s="16">
        <f t="shared" si="50"/>
        <v>1367479</v>
      </c>
      <c r="X289" s="23">
        <v>1204879</v>
      </c>
      <c r="Y289" s="23">
        <v>140391</v>
      </c>
      <c r="Z289" s="23">
        <v>2720</v>
      </c>
      <c r="AA289" s="23">
        <v>2101</v>
      </c>
      <c r="AB289" s="23">
        <v>17367</v>
      </c>
      <c r="AC289" s="23">
        <v>3</v>
      </c>
      <c r="AD289" s="23">
        <v>18</v>
      </c>
      <c r="AE289" s="20">
        <f t="shared" si="47"/>
        <v>21</v>
      </c>
      <c r="AF289" s="20">
        <f t="shared" si="44"/>
        <v>1367458</v>
      </c>
    </row>
    <row r="290" spans="1:32">
      <c r="A290" s="2">
        <v>1998</v>
      </c>
      <c r="B290" s="2">
        <v>9</v>
      </c>
      <c r="C290" s="16">
        <f t="shared" si="48"/>
        <v>3541080</v>
      </c>
      <c r="D290" s="9">
        <v>1664838</v>
      </c>
      <c r="E290" s="9">
        <v>922826</v>
      </c>
      <c r="F290" s="38">
        <v>377480</v>
      </c>
      <c r="G290" s="38">
        <v>129702</v>
      </c>
      <c r="H290" s="19">
        <f t="shared" si="49"/>
        <v>247778</v>
      </c>
      <c r="I290" s="9">
        <v>2202</v>
      </c>
      <c r="J290" s="9">
        <v>230649</v>
      </c>
      <c r="K290" s="9">
        <v>208280</v>
      </c>
      <c r="L290" s="9">
        <v>134805</v>
      </c>
      <c r="M290" s="23">
        <v>2453343</v>
      </c>
      <c r="N290" s="20">
        <f t="shared" ref="N290:N295" si="51">(M290-M289)</f>
        <v>-256326</v>
      </c>
      <c r="O290" s="20">
        <f t="shared" ref="O290:O295" si="52">(C290+N290)</f>
        <v>3284754</v>
      </c>
      <c r="P290" s="23">
        <v>13296</v>
      </c>
      <c r="Q290" s="20">
        <f t="shared" ref="Q290:Q301" si="53">(R290-O290-P290)</f>
        <v>151915</v>
      </c>
      <c r="R290" s="23">
        <v>3449965</v>
      </c>
      <c r="S290" s="25">
        <f t="shared" si="46"/>
        <v>4.4033780052841115E-2</v>
      </c>
      <c r="T290" s="60">
        <v>2029996</v>
      </c>
      <c r="U290" s="2">
        <v>1998</v>
      </c>
      <c r="V290" s="2">
        <v>9</v>
      </c>
      <c r="W290" s="16">
        <f t="shared" si="50"/>
        <v>1289183</v>
      </c>
      <c r="X290" s="23">
        <v>1136265</v>
      </c>
      <c r="Y290" s="23">
        <v>131660</v>
      </c>
      <c r="Z290" s="23">
        <v>2631</v>
      </c>
      <c r="AA290" s="23">
        <v>2093</v>
      </c>
      <c r="AB290" s="23">
        <v>16515</v>
      </c>
      <c r="AC290" s="23">
        <v>3</v>
      </c>
      <c r="AD290" s="23">
        <v>16</v>
      </c>
      <c r="AE290" s="20">
        <f t="shared" si="47"/>
        <v>19</v>
      </c>
      <c r="AF290" s="20">
        <f t="shared" si="44"/>
        <v>1289164</v>
      </c>
    </row>
    <row r="291" spans="1:32">
      <c r="A291" s="2">
        <v>1998</v>
      </c>
      <c r="B291" s="2">
        <v>10</v>
      </c>
      <c r="C291" s="16">
        <f t="shared" si="48"/>
        <v>3401667</v>
      </c>
      <c r="D291" s="9">
        <v>1565495</v>
      </c>
      <c r="E291" s="9">
        <v>936864</v>
      </c>
      <c r="F291" s="38">
        <v>356167</v>
      </c>
      <c r="G291" s="38">
        <v>134039</v>
      </c>
      <c r="H291" s="19">
        <f t="shared" si="49"/>
        <v>222128</v>
      </c>
      <c r="I291" s="9">
        <v>2205</v>
      </c>
      <c r="J291" s="9">
        <v>236973</v>
      </c>
      <c r="K291" s="9">
        <v>190865</v>
      </c>
      <c r="L291" s="9">
        <v>113098</v>
      </c>
      <c r="M291" s="23">
        <v>2099338</v>
      </c>
      <c r="N291" s="20">
        <f t="shared" si="51"/>
        <v>-354005</v>
      </c>
      <c r="O291" s="20">
        <f t="shared" si="52"/>
        <v>3047662</v>
      </c>
      <c r="P291" s="23">
        <v>15462</v>
      </c>
      <c r="Q291" s="20">
        <f t="shared" si="53"/>
        <v>167569</v>
      </c>
      <c r="R291" s="23">
        <v>3230693</v>
      </c>
      <c r="S291" s="25">
        <f t="shared" si="46"/>
        <v>5.1867819071635714E-2</v>
      </c>
      <c r="T291" s="60">
        <v>1820567</v>
      </c>
      <c r="U291" s="2">
        <v>1998</v>
      </c>
      <c r="V291" s="2">
        <v>10</v>
      </c>
      <c r="W291" s="16">
        <f t="shared" si="50"/>
        <v>1377107</v>
      </c>
      <c r="X291" s="23">
        <v>1213255</v>
      </c>
      <c r="Y291" s="23">
        <v>141369</v>
      </c>
      <c r="Z291" s="23">
        <v>2756</v>
      </c>
      <c r="AA291" s="23">
        <v>2090</v>
      </c>
      <c r="AB291" s="23">
        <v>17618</v>
      </c>
      <c r="AC291" s="23">
        <v>3</v>
      </c>
      <c r="AD291" s="23">
        <v>16</v>
      </c>
      <c r="AE291" s="20">
        <f t="shared" si="47"/>
        <v>19</v>
      </c>
      <c r="AF291" s="20">
        <f t="shared" si="44"/>
        <v>1377088</v>
      </c>
    </row>
    <row r="292" spans="1:32">
      <c r="A292" s="2">
        <v>1998</v>
      </c>
      <c r="B292" s="2">
        <v>11</v>
      </c>
      <c r="C292" s="16">
        <f t="shared" si="48"/>
        <v>2803996</v>
      </c>
      <c r="D292" s="9">
        <v>1156338</v>
      </c>
      <c r="E292" s="9">
        <v>835753</v>
      </c>
      <c r="F292" s="9">
        <v>386828</v>
      </c>
      <c r="G292" s="36">
        <v>132082</v>
      </c>
      <c r="H292" s="19">
        <f t="shared" si="49"/>
        <v>254746</v>
      </c>
      <c r="I292" s="9">
        <v>2219</v>
      </c>
      <c r="J292" s="9">
        <v>212817</v>
      </c>
      <c r="K292" s="9">
        <v>115024</v>
      </c>
      <c r="L292" s="9">
        <v>95017</v>
      </c>
      <c r="M292" s="23">
        <v>1774434</v>
      </c>
      <c r="N292" s="20">
        <f t="shared" si="51"/>
        <v>-324904</v>
      </c>
      <c r="O292" s="20">
        <f t="shared" si="52"/>
        <v>2479092</v>
      </c>
      <c r="P292" s="23">
        <v>13791</v>
      </c>
      <c r="Q292" s="20">
        <f t="shared" si="53"/>
        <v>125808</v>
      </c>
      <c r="R292" s="23">
        <v>2618691</v>
      </c>
      <c r="S292" s="25">
        <f t="shared" si="46"/>
        <v>4.8042323435640175E-2</v>
      </c>
      <c r="T292" s="60">
        <v>1608678</v>
      </c>
      <c r="U292" s="2">
        <v>1998</v>
      </c>
      <c r="V292" s="2">
        <v>11</v>
      </c>
      <c r="W292" s="16">
        <f t="shared" si="50"/>
        <v>1359250</v>
      </c>
      <c r="X292" s="23">
        <v>1197929</v>
      </c>
      <c r="Y292" s="23">
        <v>139300</v>
      </c>
      <c r="Z292" s="23">
        <v>2682</v>
      </c>
      <c r="AA292" s="23">
        <v>2095</v>
      </c>
      <c r="AB292" s="23">
        <v>17227</v>
      </c>
      <c r="AC292" s="23">
        <v>3</v>
      </c>
      <c r="AD292" s="23">
        <v>14</v>
      </c>
      <c r="AE292" s="20">
        <f t="shared" si="47"/>
        <v>17</v>
      </c>
      <c r="AF292" s="20">
        <f t="shared" si="44"/>
        <v>1359233</v>
      </c>
    </row>
    <row r="293" spans="1:32" s="26" customFormat="1">
      <c r="A293" s="26">
        <v>1998</v>
      </c>
      <c r="B293" s="26">
        <v>12</v>
      </c>
      <c r="C293" s="27">
        <f t="shared" si="48"/>
        <v>2704068</v>
      </c>
      <c r="D293" s="32">
        <v>1128856</v>
      </c>
      <c r="E293" s="32">
        <v>817244</v>
      </c>
      <c r="F293" s="32">
        <v>399974</v>
      </c>
      <c r="G293" s="32">
        <v>164234</v>
      </c>
      <c r="H293" s="29">
        <f t="shared" si="49"/>
        <v>235740</v>
      </c>
      <c r="I293" s="32">
        <v>2219</v>
      </c>
      <c r="J293" s="32">
        <v>208719</v>
      </c>
      <c r="K293" s="32">
        <v>77233</v>
      </c>
      <c r="L293" s="32">
        <v>69823</v>
      </c>
      <c r="M293" s="33">
        <v>1604301</v>
      </c>
      <c r="N293" s="47">
        <f t="shared" si="51"/>
        <v>-170133</v>
      </c>
      <c r="O293" s="47">
        <f t="shared" si="52"/>
        <v>2533935</v>
      </c>
      <c r="P293" s="33">
        <v>18962</v>
      </c>
      <c r="Q293" s="47">
        <f t="shared" si="53"/>
        <v>167366</v>
      </c>
      <c r="R293" s="33">
        <v>2720263</v>
      </c>
      <c r="S293" s="31">
        <f t="shared" si="46"/>
        <v>6.1525668657773161E-2</v>
      </c>
      <c r="T293" s="70">
        <v>1494229</v>
      </c>
      <c r="U293" s="26">
        <v>1998</v>
      </c>
      <c r="V293" s="26">
        <v>12</v>
      </c>
      <c r="W293" s="27">
        <f t="shared" si="50"/>
        <v>1348975</v>
      </c>
      <c r="X293" s="33">
        <v>1190799</v>
      </c>
      <c r="Y293" s="33">
        <v>136423</v>
      </c>
      <c r="Z293" s="33">
        <v>2684</v>
      </c>
      <c r="AA293" s="33">
        <v>2084</v>
      </c>
      <c r="AB293" s="33">
        <v>16970</v>
      </c>
      <c r="AC293" s="33">
        <v>2</v>
      </c>
      <c r="AD293" s="33">
        <v>13</v>
      </c>
      <c r="AE293" s="20">
        <f t="shared" si="47"/>
        <v>15</v>
      </c>
      <c r="AF293" s="20">
        <f t="shared" si="44"/>
        <v>1348960</v>
      </c>
    </row>
    <row r="294" spans="1:32">
      <c r="A294" s="2">
        <v>1999</v>
      </c>
      <c r="B294" s="2">
        <v>1</v>
      </c>
      <c r="C294" s="16">
        <f t="shared" si="48"/>
        <v>2691163</v>
      </c>
      <c r="D294" s="9">
        <v>1302110</v>
      </c>
      <c r="E294" s="9">
        <v>760977</v>
      </c>
      <c r="F294" s="9">
        <v>343241</v>
      </c>
      <c r="G294" s="40">
        <v>113216</v>
      </c>
      <c r="H294" s="19">
        <f t="shared" si="49"/>
        <v>230025</v>
      </c>
      <c r="I294" s="9">
        <v>2220</v>
      </c>
      <c r="J294" s="9">
        <v>188039</v>
      </c>
      <c r="K294" s="9">
        <v>14750</v>
      </c>
      <c r="L294" s="9">
        <v>79826</v>
      </c>
      <c r="M294" s="23">
        <v>1640345</v>
      </c>
      <c r="N294" s="20">
        <f t="shared" si="51"/>
        <v>36044</v>
      </c>
      <c r="O294" s="20">
        <f t="shared" si="52"/>
        <v>2727207</v>
      </c>
      <c r="P294" s="23">
        <v>13456</v>
      </c>
      <c r="Q294" s="20">
        <f t="shared" si="53"/>
        <v>114103</v>
      </c>
      <c r="R294" s="23">
        <v>2854766</v>
      </c>
      <c r="S294" s="25">
        <f t="shared" si="46"/>
        <v>3.9969300461053549E-2</v>
      </c>
      <c r="T294" s="60">
        <v>1538008</v>
      </c>
      <c r="U294" s="2">
        <v>1999</v>
      </c>
      <c r="V294" s="2">
        <v>1</v>
      </c>
      <c r="W294" s="16">
        <f t="shared" si="50"/>
        <v>1365319</v>
      </c>
      <c r="X294" s="23">
        <v>1205483</v>
      </c>
      <c r="Y294" s="23">
        <v>137875</v>
      </c>
      <c r="Z294" s="23">
        <v>2648</v>
      </c>
      <c r="AA294" s="23">
        <v>2072</v>
      </c>
      <c r="AB294" s="23">
        <v>17226</v>
      </c>
      <c r="AC294" s="23">
        <v>2</v>
      </c>
      <c r="AD294" s="23">
        <v>13</v>
      </c>
      <c r="AE294" s="20">
        <f t="shared" si="47"/>
        <v>15</v>
      </c>
      <c r="AF294" s="20">
        <f t="shared" si="44"/>
        <v>1365304</v>
      </c>
    </row>
    <row r="295" spans="1:32">
      <c r="A295" s="2">
        <v>1999</v>
      </c>
      <c r="B295" s="2">
        <v>2</v>
      </c>
      <c r="C295" s="16">
        <f t="shared" si="48"/>
        <v>2369044</v>
      </c>
      <c r="D295" s="9">
        <v>1029004</v>
      </c>
      <c r="E295" s="9">
        <v>714768</v>
      </c>
      <c r="F295" s="38">
        <v>343776</v>
      </c>
      <c r="G295" s="38">
        <v>119310</v>
      </c>
      <c r="H295" s="19">
        <f t="shared" si="49"/>
        <v>224466</v>
      </c>
      <c r="I295" s="9">
        <v>2222</v>
      </c>
      <c r="J295" s="9">
        <v>179994</v>
      </c>
      <c r="K295" s="9">
        <v>34344</v>
      </c>
      <c r="L295" s="9">
        <v>64936</v>
      </c>
      <c r="M295" s="23">
        <v>1530922</v>
      </c>
      <c r="N295" s="20">
        <f t="shared" si="51"/>
        <v>-109423</v>
      </c>
      <c r="O295" s="20">
        <f t="shared" si="52"/>
        <v>2259621</v>
      </c>
      <c r="P295" s="23">
        <v>7889</v>
      </c>
      <c r="Q295" s="20">
        <f t="shared" si="53"/>
        <v>243114</v>
      </c>
      <c r="R295" s="23">
        <v>2510624</v>
      </c>
      <c r="S295" s="25">
        <f t="shared" si="46"/>
        <v>9.6834093834839471E-2</v>
      </c>
      <c r="T295" s="60">
        <v>1469843</v>
      </c>
      <c r="U295" s="2">
        <v>1999</v>
      </c>
      <c r="V295" s="2">
        <v>2</v>
      </c>
      <c r="W295" s="16">
        <f t="shared" si="50"/>
        <v>1374595</v>
      </c>
      <c r="X295" s="23">
        <v>1213771</v>
      </c>
      <c r="Y295" s="23">
        <v>138803</v>
      </c>
      <c r="Z295" s="23">
        <v>2655</v>
      </c>
      <c r="AA295" s="23">
        <v>2077</v>
      </c>
      <c r="AB295" s="23">
        <v>17274</v>
      </c>
      <c r="AC295" s="23">
        <v>2</v>
      </c>
      <c r="AD295" s="23">
        <v>13</v>
      </c>
      <c r="AE295" s="20">
        <f t="shared" si="47"/>
        <v>15</v>
      </c>
      <c r="AF295" s="20">
        <f t="shared" si="44"/>
        <v>1374580</v>
      </c>
    </row>
    <row r="296" spans="1:32">
      <c r="A296" s="2">
        <v>1999</v>
      </c>
      <c r="B296" s="2">
        <v>3</v>
      </c>
      <c r="C296" s="16">
        <f t="shared" si="48"/>
        <v>2567131</v>
      </c>
      <c r="D296" s="9">
        <v>1087726</v>
      </c>
      <c r="E296" s="9">
        <v>702486</v>
      </c>
      <c r="F296" s="38">
        <v>340565</v>
      </c>
      <c r="G296" s="38">
        <v>117301</v>
      </c>
      <c r="H296" s="19">
        <f t="shared" si="49"/>
        <v>223264</v>
      </c>
      <c r="I296" s="9">
        <v>2231</v>
      </c>
      <c r="J296" s="9">
        <v>185067</v>
      </c>
      <c r="K296" s="9">
        <v>186289</v>
      </c>
      <c r="L296" s="9">
        <v>62767</v>
      </c>
      <c r="M296" s="23">
        <v>1588825</v>
      </c>
      <c r="N296" s="20">
        <f t="shared" ref="N296:N301" si="54">(M296-M295)</f>
        <v>57903</v>
      </c>
      <c r="O296" s="20">
        <f t="shared" ref="O296:O301" si="55">(C296+N296)</f>
        <v>2625034</v>
      </c>
      <c r="P296" s="23">
        <v>10248</v>
      </c>
      <c r="Q296" s="20">
        <f t="shared" si="53"/>
        <v>23177</v>
      </c>
      <c r="R296" s="23">
        <v>2658459</v>
      </c>
      <c r="S296" s="25">
        <f t="shared" si="46"/>
        <v>8.71820855615979E-3</v>
      </c>
      <c r="T296" s="60">
        <v>1518733</v>
      </c>
      <c r="U296" s="2">
        <v>1999</v>
      </c>
      <c r="V296" s="2">
        <v>3</v>
      </c>
      <c r="W296" s="16">
        <f t="shared" si="50"/>
        <v>1363561</v>
      </c>
      <c r="X296" s="23">
        <v>1203884</v>
      </c>
      <c r="Y296" s="23">
        <v>137779</v>
      </c>
      <c r="Z296" s="23">
        <v>2630</v>
      </c>
      <c r="AA296" s="23">
        <v>2079</v>
      </c>
      <c r="AB296" s="23">
        <v>17172</v>
      </c>
      <c r="AC296" s="23">
        <v>4</v>
      </c>
      <c r="AD296" s="23">
        <v>13</v>
      </c>
      <c r="AE296" s="20">
        <f t="shared" si="47"/>
        <v>17</v>
      </c>
      <c r="AF296" s="20">
        <f t="shared" si="44"/>
        <v>1363544</v>
      </c>
    </row>
    <row r="297" spans="1:32">
      <c r="A297" s="2">
        <v>1999</v>
      </c>
      <c r="B297" s="2">
        <v>4</v>
      </c>
      <c r="C297" s="16">
        <f t="shared" si="48"/>
        <v>2630948</v>
      </c>
      <c r="D297" s="9">
        <v>1110313</v>
      </c>
      <c r="E297" s="9">
        <v>808775</v>
      </c>
      <c r="F297" s="38">
        <v>378037</v>
      </c>
      <c r="G297" s="38">
        <v>133909</v>
      </c>
      <c r="H297" s="19">
        <f t="shared" si="49"/>
        <v>244128</v>
      </c>
      <c r="I297" s="9">
        <v>2202</v>
      </c>
      <c r="J297" s="9">
        <v>192369</v>
      </c>
      <c r="K297" s="9">
        <v>86096</v>
      </c>
      <c r="L297" s="9">
        <v>53156</v>
      </c>
      <c r="M297" s="23">
        <v>1889259</v>
      </c>
      <c r="N297" s="20">
        <f t="shared" si="54"/>
        <v>300434</v>
      </c>
      <c r="O297" s="20">
        <f t="shared" si="55"/>
        <v>2931382</v>
      </c>
      <c r="P297" s="23">
        <v>8342</v>
      </c>
      <c r="Q297" s="20">
        <f t="shared" si="53"/>
        <v>176753</v>
      </c>
      <c r="R297" s="23">
        <v>3116477</v>
      </c>
      <c r="S297" s="25">
        <f t="shared" si="46"/>
        <v>5.6715643978761915E-2</v>
      </c>
      <c r="T297" s="60">
        <v>1638907</v>
      </c>
      <c r="U297" s="2">
        <v>1999</v>
      </c>
      <c r="V297" s="2">
        <v>4</v>
      </c>
      <c r="W297" s="16">
        <f t="shared" si="50"/>
        <v>1368096</v>
      </c>
      <c r="X297" s="23">
        <v>1206152</v>
      </c>
      <c r="Y297" s="23">
        <v>139904</v>
      </c>
      <c r="Z297" s="23">
        <v>2638</v>
      </c>
      <c r="AA297" s="23">
        <v>2074</v>
      </c>
      <c r="AB297" s="23">
        <v>17312</v>
      </c>
      <c r="AC297" s="23">
        <v>3</v>
      </c>
      <c r="AD297" s="23">
        <v>13</v>
      </c>
      <c r="AE297" s="20">
        <f t="shared" si="47"/>
        <v>16</v>
      </c>
      <c r="AF297" s="20">
        <f t="shared" si="44"/>
        <v>1368080</v>
      </c>
    </row>
    <row r="298" spans="1:32">
      <c r="A298" s="2">
        <v>1999</v>
      </c>
      <c r="B298" s="2">
        <v>5</v>
      </c>
      <c r="C298" s="16">
        <f t="shared" si="48"/>
        <v>2699632</v>
      </c>
      <c r="D298" s="9">
        <v>1222923</v>
      </c>
      <c r="E298" s="9">
        <v>842200</v>
      </c>
      <c r="F298" s="9">
        <v>353916</v>
      </c>
      <c r="G298" s="9">
        <v>118115</v>
      </c>
      <c r="H298" s="19">
        <f t="shared" si="49"/>
        <v>235801</v>
      </c>
      <c r="I298" s="9">
        <v>2215</v>
      </c>
      <c r="J298" s="9">
        <v>209627</v>
      </c>
      <c r="K298" s="9">
        <v>1084</v>
      </c>
      <c r="L298" s="9">
        <v>67667</v>
      </c>
      <c r="M298" s="23">
        <v>2324575</v>
      </c>
      <c r="N298" s="20">
        <f t="shared" si="54"/>
        <v>435316</v>
      </c>
      <c r="O298" s="20">
        <f t="shared" si="55"/>
        <v>3134948</v>
      </c>
      <c r="P298" s="23">
        <v>7275</v>
      </c>
      <c r="Q298" s="20">
        <f t="shared" si="53"/>
        <v>154142</v>
      </c>
      <c r="R298" s="23">
        <v>3296365</v>
      </c>
      <c r="S298" s="25">
        <f t="shared" si="46"/>
        <v>4.6761205145668033E-2</v>
      </c>
      <c r="T298" s="60">
        <v>1860346</v>
      </c>
      <c r="U298" s="2">
        <v>1999</v>
      </c>
      <c r="V298" s="2">
        <v>5</v>
      </c>
      <c r="W298" s="16">
        <f t="shared" si="50"/>
        <v>1390154</v>
      </c>
      <c r="X298" s="23">
        <v>1224449</v>
      </c>
      <c r="Y298" s="23">
        <v>143127</v>
      </c>
      <c r="Z298" s="23">
        <v>2681</v>
      </c>
      <c r="AA298" s="23">
        <v>2077</v>
      </c>
      <c r="AB298" s="23">
        <v>17805</v>
      </c>
      <c r="AC298" s="23">
        <v>2</v>
      </c>
      <c r="AD298" s="23">
        <v>13</v>
      </c>
      <c r="AE298" s="20">
        <f t="shared" si="47"/>
        <v>15</v>
      </c>
      <c r="AF298" s="20">
        <f t="shared" si="44"/>
        <v>1390139</v>
      </c>
    </row>
    <row r="299" spans="1:32">
      <c r="A299" s="2">
        <v>1999</v>
      </c>
      <c r="B299" s="2">
        <v>6</v>
      </c>
      <c r="C299" s="16">
        <f t="shared" si="48"/>
        <v>3354268</v>
      </c>
      <c r="D299" s="9">
        <v>1447475</v>
      </c>
      <c r="E299" s="9">
        <v>894314</v>
      </c>
      <c r="F299" s="9">
        <v>350550</v>
      </c>
      <c r="G299" s="9">
        <v>114636</v>
      </c>
      <c r="H299" s="19">
        <f t="shared" si="49"/>
        <v>235914</v>
      </c>
      <c r="I299" s="9">
        <v>2201</v>
      </c>
      <c r="J299" s="9">
        <v>210064</v>
      </c>
      <c r="K299" s="9">
        <v>345007</v>
      </c>
      <c r="L299" s="9">
        <v>104657</v>
      </c>
      <c r="M299" s="23">
        <v>2271149</v>
      </c>
      <c r="N299" s="20">
        <f t="shared" si="54"/>
        <v>-53426</v>
      </c>
      <c r="O299" s="20">
        <f t="shared" si="55"/>
        <v>3300842</v>
      </c>
      <c r="P299" s="23">
        <v>7227</v>
      </c>
      <c r="Q299" s="20">
        <f t="shared" si="53"/>
        <v>238566</v>
      </c>
      <c r="R299" s="23">
        <v>3546635</v>
      </c>
      <c r="S299" s="25">
        <f t="shared" si="46"/>
        <v>6.7265450208437008E-2</v>
      </c>
      <c r="T299" s="60">
        <v>1970883</v>
      </c>
      <c r="U299" s="2">
        <v>1999</v>
      </c>
      <c r="V299" s="2">
        <v>6</v>
      </c>
      <c r="W299" s="16">
        <f t="shared" si="50"/>
        <v>1335197</v>
      </c>
      <c r="X299" s="23">
        <v>1176785</v>
      </c>
      <c r="Y299" s="23">
        <v>136717</v>
      </c>
      <c r="Z299" s="23">
        <v>2566</v>
      </c>
      <c r="AA299" s="23">
        <v>2082</v>
      </c>
      <c r="AB299" s="23">
        <v>17029</v>
      </c>
      <c r="AC299" s="23">
        <v>5</v>
      </c>
      <c r="AD299" s="23">
        <v>13</v>
      </c>
      <c r="AE299" s="20">
        <f t="shared" si="47"/>
        <v>18</v>
      </c>
      <c r="AF299" s="20">
        <f t="shared" si="44"/>
        <v>1335179</v>
      </c>
    </row>
    <row r="300" spans="1:32">
      <c r="A300" s="2">
        <v>1999</v>
      </c>
      <c r="B300" s="2">
        <v>7</v>
      </c>
      <c r="C300" s="16">
        <f t="shared" si="48"/>
        <v>3463695</v>
      </c>
      <c r="D300" s="9">
        <v>1615756</v>
      </c>
      <c r="E300" s="9">
        <v>966290</v>
      </c>
      <c r="F300" s="9">
        <v>376119</v>
      </c>
      <c r="G300" s="9">
        <v>131518</v>
      </c>
      <c r="H300" s="19">
        <f t="shared" si="49"/>
        <v>244601</v>
      </c>
      <c r="I300" s="9">
        <v>2226</v>
      </c>
      <c r="J300" s="9">
        <v>213726</v>
      </c>
      <c r="K300" s="9">
        <v>174558</v>
      </c>
      <c r="L300" s="9">
        <v>115020</v>
      </c>
      <c r="M300" s="23">
        <v>2750506</v>
      </c>
      <c r="N300" s="20">
        <f t="shared" si="54"/>
        <v>479357</v>
      </c>
      <c r="O300" s="20">
        <f t="shared" si="55"/>
        <v>3943052</v>
      </c>
      <c r="P300" s="23">
        <v>12508</v>
      </c>
      <c r="Q300" s="20">
        <f t="shared" si="53"/>
        <v>214996</v>
      </c>
      <c r="R300" s="23">
        <v>4170556</v>
      </c>
      <c r="S300" s="25">
        <f t="shared" si="46"/>
        <v>5.155092030894682E-2</v>
      </c>
      <c r="T300" s="60">
        <v>2285881</v>
      </c>
      <c r="U300" s="2">
        <v>1999</v>
      </c>
      <c r="V300" s="2">
        <v>7</v>
      </c>
      <c r="W300" s="16">
        <f t="shared" si="50"/>
        <v>1354676</v>
      </c>
      <c r="X300" s="23">
        <v>1192987</v>
      </c>
      <c r="Y300" s="23">
        <v>139628</v>
      </c>
      <c r="Z300" s="23">
        <v>2598</v>
      </c>
      <c r="AA300" s="23">
        <v>2089</v>
      </c>
      <c r="AB300" s="23">
        <v>17355</v>
      </c>
      <c r="AC300" s="23">
        <v>3</v>
      </c>
      <c r="AD300" s="23">
        <v>16</v>
      </c>
      <c r="AE300" s="20">
        <f t="shared" si="47"/>
        <v>19</v>
      </c>
      <c r="AF300" s="20">
        <f t="shared" si="44"/>
        <v>1354657</v>
      </c>
    </row>
    <row r="301" spans="1:32">
      <c r="A301" s="2">
        <v>1999</v>
      </c>
      <c r="B301" s="2">
        <v>8</v>
      </c>
      <c r="C301" s="16">
        <f t="shared" si="48"/>
        <v>3989477</v>
      </c>
      <c r="D301" s="9">
        <v>1924248</v>
      </c>
      <c r="E301" s="9">
        <v>1056460</v>
      </c>
      <c r="F301" s="9">
        <v>391617</v>
      </c>
      <c r="G301" s="9">
        <v>133500</v>
      </c>
      <c r="H301" s="19">
        <f t="shared" si="49"/>
        <v>258117</v>
      </c>
      <c r="I301" s="9">
        <v>2227</v>
      </c>
      <c r="J301" s="9">
        <v>237537</v>
      </c>
      <c r="K301" s="9">
        <v>228011</v>
      </c>
      <c r="L301" s="9">
        <v>149377</v>
      </c>
      <c r="M301" s="23">
        <v>2704644</v>
      </c>
      <c r="N301" s="20">
        <f t="shared" si="54"/>
        <v>-45862</v>
      </c>
      <c r="O301" s="20">
        <f t="shared" si="55"/>
        <v>3943615</v>
      </c>
      <c r="P301" s="23">
        <v>15063</v>
      </c>
      <c r="Q301" s="20">
        <f t="shared" si="53"/>
        <v>323397</v>
      </c>
      <c r="R301" s="23">
        <v>4282075</v>
      </c>
      <c r="S301" s="25">
        <f t="shared" si="46"/>
        <v>7.5523431980990527E-2</v>
      </c>
      <c r="T301" s="60">
        <v>2160277</v>
      </c>
      <c r="U301" s="2">
        <v>1999</v>
      </c>
      <c r="V301" s="2">
        <v>8</v>
      </c>
      <c r="W301" s="16">
        <f t="shared" si="50"/>
        <v>1376865</v>
      </c>
      <c r="X301" s="23">
        <v>1212071</v>
      </c>
      <c r="Y301" s="23">
        <v>142415</v>
      </c>
      <c r="Z301" s="23">
        <v>2633</v>
      </c>
      <c r="AA301" s="23">
        <v>2088</v>
      </c>
      <c r="AB301" s="23">
        <v>17641</v>
      </c>
      <c r="AC301" s="23">
        <v>3</v>
      </c>
      <c r="AD301" s="23">
        <v>14</v>
      </c>
      <c r="AE301" s="20">
        <f t="shared" si="47"/>
        <v>17</v>
      </c>
      <c r="AF301" s="20">
        <f t="shared" si="44"/>
        <v>1376848</v>
      </c>
    </row>
    <row r="302" spans="1:32">
      <c r="A302" s="2">
        <v>1999</v>
      </c>
      <c r="B302" s="2">
        <v>9</v>
      </c>
      <c r="C302" s="16">
        <f t="shared" si="48"/>
        <v>3858515</v>
      </c>
      <c r="D302" s="9">
        <v>1791090</v>
      </c>
      <c r="E302" s="9">
        <v>1023261</v>
      </c>
      <c r="F302" s="9">
        <v>373433</v>
      </c>
      <c r="G302" s="9">
        <v>131213</v>
      </c>
      <c r="H302" s="19">
        <f t="shared" si="49"/>
        <v>242220</v>
      </c>
      <c r="I302" s="9">
        <v>2217</v>
      </c>
      <c r="J302" s="9">
        <v>246877</v>
      </c>
      <c r="K302" s="9">
        <v>234000</v>
      </c>
      <c r="L302" s="9">
        <v>187637</v>
      </c>
      <c r="M302" s="23">
        <v>2373838</v>
      </c>
      <c r="N302" s="20">
        <f t="shared" ref="N302:N308" si="56">(M302-M301)</f>
        <v>-330806</v>
      </c>
      <c r="O302" s="20">
        <f t="shared" ref="O302:O307" si="57">(C302+N302)</f>
        <v>3527709</v>
      </c>
      <c r="P302" s="23">
        <v>13789</v>
      </c>
      <c r="Q302" s="20">
        <f t="shared" ref="Q302:Q313" si="58">(R302-O302-P302)</f>
        <v>137283</v>
      </c>
      <c r="R302" s="23">
        <v>3678781</v>
      </c>
      <c r="S302" s="25">
        <f t="shared" si="46"/>
        <v>3.7317524473460095E-2</v>
      </c>
      <c r="T302" s="60">
        <v>1941339</v>
      </c>
      <c r="U302" s="2">
        <v>1999</v>
      </c>
      <c r="V302" s="2">
        <v>9</v>
      </c>
      <c r="W302" s="16">
        <f t="shared" si="50"/>
        <v>1372558</v>
      </c>
      <c r="X302" s="23">
        <v>1208703</v>
      </c>
      <c r="Y302" s="23">
        <v>141592</v>
      </c>
      <c r="Z302" s="23">
        <v>2597</v>
      </c>
      <c r="AA302" s="23">
        <v>2082</v>
      </c>
      <c r="AB302" s="23">
        <v>17563</v>
      </c>
      <c r="AC302" s="23">
        <v>4</v>
      </c>
      <c r="AD302" s="23">
        <v>17</v>
      </c>
      <c r="AE302" s="20">
        <f t="shared" si="47"/>
        <v>21</v>
      </c>
      <c r="AF302" s="20">
        <f t="shared" si="44"/>
        <v>1372537</v>
      </c>
    </row>
    <row r="303" spans="1:32">
      <c r="A303" s="2">
        <v>1999</v>
      </c>
      <c r="B303" s="2">
        <v>10</v>
      </c>
      <c r="C303" s="16">
        <f t="shared" si="48"/>
        <v>3410814</v>
      </c>
      <c r="D303" s="9">
        <v>1465248</v>
      </c>
      <c r="E303" s="9">
        <v>917912</v>
      </c>
      <c r="F303" s="9">
        <v>363534</v>
      </c>
      <c r="G303" s="9">
        <v>126692</v>
      </c>
      <c r="H303" s="19">
        <f t="shared" si="49"/>
        <v>236842</v>
      </c>
      <c r="I303" s="9">
        <v>2217</v>
      </c>
      <c r="J303" s="9">
        <v>231041</v>
      </c>
      <c r="K303" s="9">
        <v>288169</v>
      </c>
      <c r="L303" s="9">
        <v>142693</v>
      </c>
      <c r="M303" s="23">
        <v>2142490</v>
      </c>
      <c r="N303" s="20">
        <f t="shared" si="56"/>
        <v>-231348</v>
      </c>
      <c r="O303" s="20">
        <f t="shared" si="57"/>
        <v>3179466</v>
      </c>
      <c r="P303" s="23">
        <v>10322</v>
      </c>
      <c r="Q303" s="20">
        <f t="shared" si="58"/>
        <v>150386</v>
      </c>
      <c r="R303" s="23">
        <v>3340174</v>
      </c>
      <c r="S303" s="25">
        <f t="shared" ref="S303:S313" si="59">(Q303/R303)</f>
        <v>4.5023402972420003E-2</v>
      </c>
      <c r="T303" s="60">
        <v>1718696</v>
      </c>
      <c r="U303" s="2">
        <v>1999</v>
      </c>
      <c r="V303" s="2">
        <v>10</v>
      </c>
      <c r="W303" s="16">
        <f t="shared" si="50"/>
        <v>1366020</v>
      </c>
      <c r="X303" s="23">
        <v>1202702</v>
      </c>
      <c r="Y303" s="23">
        <v>140996</v>
      </c>
      <c r="Z303" s="23">
        <v>2609</v>
      </c>
      <c r="AA303" s="23">
        <v>2086</v>
      </c>
      <c r="AB303" s="23">
        <v>17609</v>
      </c>
      <c r="AC303" s="23">
        <v>3</v>
      </c>
      <c r="AD303" s="23">
        <v>15</v>
      </c>
      <c r="AE303" s="20">
        <f t="shared" si="47"/>
        <v>18</v>
      </c>
      <c r="AF303" s="20">
        <f t="shared" si="44"/>
        <v>1366002</v>
      </c>
    </row>
    <row r="304" spans="1:32">
      <c r="A304" s="2">
        <v>1999</v>
      </c>
      <c r="B304" s="2">
        <v>11</v>
      </c>
      <c r="C304" s="16">
        <f t="shared" si="48"/>
        <v>2971580</v>
      </c>
      <c r="D304" s="9">
        <v>1142859</v>
      </c>
      <c r="E304" s="9">
        <v>849949</v>
      </c>
      <c r="F304" s="9">
        <v>376090</v>
      </c>
      <c r="G304" s="9">
        <v>145983</v>
      </c>
      <c r="H304" s="19">
        <f t="shared" si="49"/>
        <v>230107</v>
      </c>
      <c r="I304" s="9">
        <v>2228</v>
      </c>
      <c r="J304" s="9">
        <v>215852</v>
      </c>
      <c r="K304" s="9">
        <v>252505</v>
      </c>
      <c r="L304" s="9">
        <v>132097</v>
      </c>
      <c r="M304" s="23">
        <v>1756532</v>
      </c>
      <c r="N304" s="20">
        <f t="shared" si="56"/>
        <v>-385958</v>
      </c>
      <c r="O304" s="20">
        <f t="shared" si="57"/>
        <v>2585622</v>
      </c>
      <c r="P304" s="23">
        <v>8796</v>
      </c>
      <c r="Q304" s="20">
        <f t="shared" si="58"/>
        <v>106002</v>
      </c>
      <c r="R304" s="23">
        <v>2700420</v>
      </c>
      <c r="S304" s="25">
        <f t="shared" si="59"/>
        <v>3.9253893838736197E-2</v>
      </c>
      <c r="T304" s="60">
        <v>1498561</v>
      </c>
      <c r="U304" s="2">
        <v>1999</v>
      </c>
      <c r="V304" s="2">
        <v>11</v>
      </c>
      <c r="W304" s="16">
        <f t="shared" si="50"/>
        <v>1439756</v>
      </c>
      <c r="X304" s="23">
        <v>1269066</v>
      </c>
      <c r="Y304" s="23">
        <v>147740</v>
      </c>
      <c r="Z304" s="23">
        <v>2659</v>
      </c>
      <c r="AA304" s="23">
        <v>2071</v>
      </c>
      <c r="AB304" s="23">
        <v>18203</v>
      </c>
      <c r="AC304" s="23">
        <v>3</v>
      </c>
      <c r="AD304" s="23">
        <v>14</v>
      </c>
      <c r="AE304" s="20">
        <f t="shared" si="47"/>
        <v>17</v>
      </c>
      <c r="AF304" s="20">
        <f t="shared" si="44"/>
        <v>1439739</v>
      </c>
    </row>
    <row r="305" spans="1:32" s="26" customFormat="1">
      <c r="A305" s="26">
        <v>1999</v>
      </c>
      <c r="B305" s="26">
        <v>12</v>
      </c>
      <c r="C305" s="27">
        <f t="shared" si="48"/>
        <v>2701469</v>
      </c>
      <c r="D305" s="32">
        <v>1106020</v>
      </c>
      <c r="E305" s="32">
        <v>789456</v>
      </c>
      <c r="F305" s="32">
        <v>342831</v>
      </c>
      <c r="G305" s="32">
        <v>108741</v>
      </c>
      <c r="H305" s="29">
        <f t="shared" si="49"/>
        <v>234090</v>
      </c>
      <c r="I305" s="32">
        <v>2263</v>
      </c>
      <c r="J305" s="32">
        <v>198839</v>
      </c>
      <c r="K305" s="32">
        <v>129676</v>
      </c>
      <c r="L305" s="32">
        <v>132384</v>
      </c>
      <c r="M305" s="33">
        <v>1856117</v>
      </c>
      <c r="N305" s="47">
        <f t="shared" si="56"/>
        <v>99585</v>
      </c>
      <c r="O305" s="47">
        <f t="shared" si="57"/>
        <v>2801054</v>
      </c>
      <c r="P305" s="33">
        <v>11009</v>
      </c>
      <c r="Q305" s="47">
        <f t="shared" si="58"/>
        <v>192464</v>
      </c>
      <c r="R305" s="33">
        <v>3004527</v>
      </c>
      <c r="S305" s="31">
        <f t="shared" si="59"/>
        <v>6.4058003139928515E-2</v>
      </c>
      <c r="T305" s="70">
        <v>1613595</v>
      </c>
      <c r="U305" s="26">
        <v>1999</v>
      </c>
      <c r="V305" s="26">
        <v>12</v>
      </c>
      <c r="W305" s="27">
        <f t="shared" si="50"/>
        <v>1412367</v>
      </c>
      <c r="X305" s="33">
        <v>1245591</v>
      </c>
      <c r="Y305" s="33">
        <v>144193</v>
      </c>
      <c r="Z305" s="33">
        <v>2639</v>
      </c>
      <c r="AA305" s="33">
        <v>2076</v>
      </c>
      <c r="AB305" s="33">
        <v>17844</v>
      </c>
      <c r="AC305" s="33">
        <v>6</v>
      </c>
      <c r="AD305" s="33">
        <v>18</v>
      </c>
      <c r="AE305" s="20">
        <f t="shared" si="47"/>
        <v>24</v>
      </c>
      <c r="AF305" s="20">
        <f t="shared" si="44"/>
        <v>1412343</v>
      </c>
    </row>
    <row r="306" spans="1:32">
      <c r="A306" s="2">
        <v>2000</v>
      </c>
      <c r="B306" s="2">
        <v>1</v>
      </c>
      <c r="C306" s="16">
        <f t="shared" si="48"/>
        <v>2668858</v>
      </c>
      <c r="D306" s="41">
        <v>1166783</v>
      </c>
      <c r="E306" s="41">
        <v>699317</v>
      </c>
      <c r="F306" s="42">
        <v>376396</v>
      </c>
      <c r="G306" s="9">
        <v>147694</v>
      </c>
      <c r="H306" s="19">
        <f t="shared" si="49"/>
        <v>228702</v>
      </c>
      <c r="I306" s="9">
        <v>2255</v>
      </c>
      <c r="J306" s="9">
        <v>176784</v>
      </c>
      <c r="K306" s="9">
        <v>148466</v>
      </c>
      <c r="L306" s="9">
        <v>98857</v>
      </c>
      <c r="M306" s="23">
        <v>2103135</v>
      </c>
      <c r="N306" s="20">
        <f t="shared" si="56"/>
        <v>247018</v>
      </c>
      <c r="O306" s="20">
        <f t="shared" si="57"/>
        <v>2915876</v>
      </c>
      <c r="P306" s="68">
        <v>9018</v>
      </c>
      <c r="Q306" s="20">
        <f t="shared" si="58"/>
        <v>221547</v>
      </c>
      <c r="R306" s="23">
        <v>3146441</v>
      </c>
      <c r="S306" s="25">
        <f t="shared" si="59"/>
        <v>7.041193526273018E-2</v>
      </c>
      <c r="T306" s="60">
        <v>1834230</v>
      </c>
      <c r="U306" s="2">
        <v>2000</v>
      </c>
      <c r="V306" s="2">
        <v>1</v>
      </c>
      <c r="W306" s="16">
        <f t="shared" si="50"/>
        <v>1310134</v>
      </c>
      <c r="X306" s="23">
        <v>1154862</v>
      </c>
      <c r="Y306" s="23">
        <v>133796</v>
      </c>
      <c r="Z306" s="23">
        <v>2442</v>
      </c>
      <c r="AA306" s="23">
        <v>2082</v>
      </c>
      <c r="AB306" s="23">
        <v>16934</v>
      </c>
      <c r="AC306" s="23">
        <v>4</v>
      </c>
      <c r="AD306" s="23">
        <v>14</v>
      </c>
      <c r="AE306" s="20">
        <f t="shared" si="47"/>
        <v>18</v>
      </c>
      <c r="AF306" s="20">
        <f t="shared" si="44"/>
        <v>1310116</v>
      </c>
    </row>
    <row r="307" spans="1:32">
      <c r="A307" s="2">
        <v>2000</v>
      </c>
      <c r="B307" s="2">
        <v>2</v>
      </c>
      <c r="C307" s="16">
        <f t="shared" si="48"/>
        <v>3105082</v>
      </c>
      <c r="D307" s="41">
        <v>1516191</v>
      </c>
      <c r="E307" s="41">
        <v>804074</v>
      </c>
      <c r="F307" s="42">
        <v>327089</v>
      </c>
      <c r="G307" s="42">
        <v>114198</v>
      </c>
      <c r="H307" s="19">
        <f t="shared" si="49"/>
        <v>212891</v>
      </c>
      <c r="I307" s="9">
        <v>2197</v>
      </c>
      <c r="J307" s="9">
        <v>199336</v>
      </c>
      <c r="K307" s="9">
        <v>169987</v>
      </c>
      <c r="L307" s="9">
        <v>86208</v>
      </c>
      <c r="M307" s="23">
        <v>1614223</v>
      </c>
      <c r="N307" s="20">
        <f t="shared" si="56"/>
        <v>-488912</v>
      </c>
      <c r="O307" s="20">
        <f t="shared" si="57"/>
        <v>2616170</v>
      </c>
      <c r="P307" s="23">
        <v>7850</v>
      </c>
      <c r="Q307" s="20">
        <f t="shared" si="58"/>
        <v>199701</v>
      </c>
      <c r="R307" s="23">
        <v>2823721</v>
      </c>
      <c r="S307" s="25">
        <f t="shared" si="59"/>
        <v>7.0722638674288282E-2</v>
      </c>
      <c r="T307" s="60">
        <v>1421390</v>
      </c>
      <c r="U307" s="2">
        <v>2000</v>
      </c>
      <c r="V307" s="2">
        <v>2</v>
      </c>
      <c r="W307" s="16">
        <f t="shared" si="50"/>
        <v>1424980</v>
      </c>
      <c r="X307" s="23">
        <v>1258066</v>
      </c>
      <c r="Y307" s="23">
        <v>144289</v>
      </c>
      <c r="Z307" s="23">
        <v>2637</v>
      </c>
      <c r="AA307" s="23">
        <v>2085</v>
      </c>
      <c r="AB307" s="23">
        <v>17884</v>
      </c>
      <c r="AC307" s="23">
        <v>4</v>
      </c>
      <c r="AD307" s="23">
        <v>15</v>
      </c>
      <c r="AE307" s="20">
        <f t="shared" si="47"/>
        <v>19</v>
      </c>
      <c r="AF307" s="20">
        <f t="shared" si="44"/>
        <v>1424961</v>
      </c>
    </row>
    <row r="308" spans="1:32">
      <c r="A308" s="2">
        <v>2000</v>
      </c>
      <c r="B308" s="2">
        <v>3</v>
      </c>
      <c r="C308" s="16">
        <f t="shared" si="48"/>
        <v>2591420</v>
      </c>
      <c r="D308" s="41">
        <v>1051480</v>
      </c>
      <c r="E308" s="41">
        <v>769186</v>
      </c>
      <c r="F308" s="42">
        <v>361578</v>
      </c>
      <c r="G308" s="42">
        <v>96999</v>
      </c>
      <c r="H308" s="19">
        <f t="shared" si="49"/>
        <v>264579</v>
      </c>
      <c r="I308" s="9">
        <v>2219</v>
      </c>
      <c r="J308" s="9">
        <v>196410</v>
      </c>
      <c r="K308" s="9">
        <v>126500</v>
      </c>
      <c r="L308" s="9">
        <v>84047</v>
      </c>
      <c r="M308" s="23">
        <v>1833101</v>
      </c>
      <c r="N308" s="20">
        <f t="shared" si="56"/>
        <v>218878</v>
      </c>
      <c r="O308" s="20">
        <f t="shared" ref="O308:O313" si="60">(C308+N308)</f>
        <v>2810298</v>
      </c>
      <c r="P308" s="23">
        <v>9593</v>
      </c>
      <c r="Q308" s="20">
        <f t="shared" si="58"/>
        <v>80875</v>
      </c>
      <c r="R308" s="23">
        <v>2900766</v>
      </c>
      <c r="S308" s="25">
        <f t="shared" si="59"/>
        <v>2.7880566719273459E-2</v>
      </c>
      <c r="T308" s="60">
        <v>1620628</v>
      </c>
      <c r="U308" s="2">
        <v>2000</v>
      </c>
      <c r="V308" s="2">
        <v>3</v>
      </c>
      <c r="W308" s="16">
        <f t="shared" si="50"/>
        <v>1395057</v>
      </c>
      <c r="X308" s="23">
        <v>1231173</v>
      </c>
      <c r="Y308" s="23">
        <v>141578</v>
      </c>
      <c r="Z308" s="23">
        <v>2533</v>
      </c>
      <c r="AA308" s="23">
        <v>2076</v>
      </c>
      <c r="AB308" s="23">
        <v>17679</v>
      </c>
      <c r="AC308" s="23">
        <v>4</v>
      </c>
      <c r="AD308" s="23">
        <v>14</v>
      </c>
      <c r="AE308" s="20">
        <f t="shared" si="47"/>
        <v>18</v>
      </c>
      <c r="AF308" s="20">
        <f t="shared" si="44"/>
        <v>1395039</v>
      </c>
    </row>
    <row r="309" spans="1:32">
      <c r="A309" s="2">
        <v>2000</v>
      </c>
      <c r="B309" s="2">
        <v>4</v>
      </c>
      <c r="C309" s="16">
        <f t="shared" si="48"/>
        <v>2777323</v>
      </c>
      <c r="D309" s="41">
        <v>1104237</v>
      </c>
      <c r="E309" s="41">
        <v>853929</v>
      </c>
      <c r="F309" s="42">
        <v>375713</v>
      </c>
      <c r="G309" s="42">
        <v>123124</v>
      </c>
      <c r="H309" s="19">
        <f t="shared" si="49"/>
        <v>252589</v>
      </c>
      <c r="I309" s="9">
        <v>3007</v>
      </c>
      <c r="J309" s="9">
        <v>210411</v>
      </c>
      <c r="K309" s="9">
        <v>147027</v>
      </c>
      <c r="L309" s="9">
        <v>82999</v>
      </c>
      <c r="M309" s="23">
        <v>1719596</v>
      </c>
      <c r="N309" s="20">
        <f t="shared" ref="N309:N314" si="61">(M309-M308)</f>
        <v>-113505</v>
      </c>
      <c r="O309" s="20">
        <f t="shared" si="60"/>
        <v>2663818</v>
      </c>
      <c r="P309" s="23">
        <v>10861</v>
      </c>
      <c r="Q309" s="20">
        <f t="shared" si="58"/>
        <v>172300</v>
      </c>
      <c r="R309" s="23">
        <v>2846979</v>
      </c>
      <c r="S309" s="25">
        <f t="shared" si="59"/>
        <v>6.0520291860249056E-2</v>
      </c>
      <c r="T309" s="60">
        <v>1517416</v>
      </c>
      <c r="U309" s="2">
        <v>2000</v>
      </c>
      <c r="V309" s="2">
        <v>4</v>
      </c>
      <c r="W309" s="16">
        <f t="shared" si="50"/>
        <v>1418136</v>
      </c>
      <c r="X309" s="23">
        <v>1250736</v>
      </c>
      <c r="Y309" s="23">
        <v>144754</v>
      </c>
      <c r="Z309" s="23">
        <v>2559</v>
      </c>
      <c r="AA309" s="23">
        <v>2080</v>
      </c>
      <c r="AB309" s="23">
        <v>17989</v>
      </c>
      <c r="AC309" s="23">
        <v>4</v>
      </c>
      <c r="AD309" s="23">
        <v>14</v>
      </c>
      <c r="AE309" s="20">
        <f t="shared" si="47"/>
        <v>18</v>
      </c>
      <c r="AF309" s="20">
        <f t="shared" si="44"/>
        <v>1418118</v>
      </c>
    </row>
    <row r="310" spans="1:32">
      <c r="A310" s="2">
        <v>2000</v>
      </c>
      <c r="B310" s="2">
        <v>5</v>
      </c>
      <c r="C310" s="16">
        <f t="shared" si="48"/>
        <v>2882310</v>
      </c>
      <c r="D310" s="41">
        <v>1237990</v>
      </c>
      <c r="E310" s="41">
        <v>890051</v>
      </c>
      <c r="F310" s="42">
        <v>342306</v>
      </c>
      <c r="G310" s="42">
        <v>95220</v>
      </c>
      <c r="H310" s="19">
        <f t="shared" si="49"/>
        <v>247086</v>
      </c>
      <c r="I310" s="9">
        <v>2258</v>
      </c>
      <c r="J310" s="9">
        <v>201875</v>
      </c>
      <c r="K310" s="9">
        <v>137856</v>
      </c>
      <c r="L310" s="9">
        <v>69974</v>
      </c>
      <c r="M310" s="23">
        <v>2367444</v>
      </c>
      <c r="N310" s="20">
        <f t="shared" si="61"/>
        <v>647848</v>
      </c>
      <c r="O310" s="20">
        <f t="shared" si="60"/>
        <v>3530158</v>
      </c>
      <c r="P310" s="23">
        <v>9390</v>
      </c>
      <c r="Q310" s="20">
        <f t="shared" si="58"/>
        <v>209743</v>
      </c>
      <c r="R310" s="23">
        <v>3749291</v>
      </c>
      <c r="S310" s="25">
        <f t="shared" si="59"/>
        <v>5.594204344234683E-2</v>
      </c>
      <c r="T310" s="60">
        <v>2056856</v>
      </c>
      <c r="U310" s="2">
        <v>2000</v>
      </c>
      <c r="V310" s="2">
        <v>5</v>
      </c>
      <c r="W310" s="16">
        <f t="shared" si="50"/>
        <v>1385278</v>
      </c>
      <c r="X310" s="23">
        <v>1220587</v>
      </c>
      <c r="Y310" s="23">
        <v>142209</v>
      </c>
      <c r="Z310" s="23">
        <v>2519</v>
      </c>
      <c r="AA310" s="23">
        <v>2080</v>
      </c>
      <c r="AB310" s="23">
        <v>17866</v>
      </c>
      <c r="AC310" s="23">
        <v>4</v>
      </c>
      <c r="AD310" s="23">
        <v>13</v>
      </c>
      <c r="AE310" s="20">
        <f t="shared" si="47"/>
        <v>17</v>
      </c>
      <c r="AF310" s="20">
        <f t="shared" si="44"/>
        <v>1385261</v>
      </c>
    </row>
    <row r="311" spans="1:32">
      <c r="A311" s="2">
        <v>2000</v>
      </c>
      <c r="B311" s="2">
        <v>6</v>
      </c>
      <c r="C311" s="16">
        <f t="shared" si="48"/>
        <v>3673488</v>
      </c>
      <c r="D311" s="41">
        <v>1723088</v>
      </c>
      <c r="E311" s="41">
        <v>1013971</v>
      </c>
      <c r="F311" s="42">
        <v>383440</v>
      </c>
      <c r="G311" s="42">
        <v>105644</v>
      </c>
      <c r="H311" s="19">
        <f t="shared" si="49"/>
        <v>277796</v>
      </c>
      <c r="I311" s="9">
        <v>2292</v>
      </c>
      <c r="J311" s="9">
        <v>251831</v>
      </c>
      <c r="K311" s="9">
        <v>204826</v>
      </c>
      <c r="L311" s="9">
        <v>94040</v>
      </c>
      <c r="M311" s="23">
        <v>2354569</v>
      </c>
      <c r="N311" s="20">
        <f t="shared" si="61"/>
        <v>-12875</v>
      </c>
      <c r="O311" s="20">
        <f t="shared" si="60"/>
        <v>3660613</v>
      </c>
      <c r="P311" s="23">
        <v>9799</v>
      </c>
      <c r="Q311" s="20">
        <f t="shared" si="58"/>
        <v>219961</v>
      </c>
      <c r="R311" s="23">
        <v>3890373</v>
      </c>
      <c r="S311" s="25">
        <f t="shared" si="59"/>
        <v>5.6539822788200515E-2</v>
      </c>
      <c r="T311" s="60">
        <v>1975016</v>
      </c>
      <c r="U311" s="2">
        <v>2000</v>
      </c>
      <c r="V311" s="2">
        <v>6</v>
      </c>
      <c r="W311" s="16">
        <f t="shared" si="50"/>
        <v>1381217</v>
      </c>
      <c r="X311" s="23">
        <v>1216057</v>
      </c>
      <c r="Y311" s="23">
        <v>142765</v>
      </c>
      <c r="Z311" s="23">
        <v>2533</v>
      </c>
      <c r="AA311" s="23">
        <v>2080</v>
      </c>
      <c r="AB311" s="23">
        <v>17763</v>
      </c>
      <c r="AC311" s="23">
        <v>4</v>
      </c>
      <c r="AD311" s="23">
        <v>15</v>
      </c>
      <c r="AE311" s="20">
        <f t="shared" si="47"/>
        <v>19</v>
      </c>
      <c r="AF311" s="20">
        <f t="shared" si="44"/>
        <v>1381198</v>
      </c>
    </row>
    <row r="312" spans="1:32">
      <c r="A312" s="2">
        <v>2000</v>
      </c>
      <c r="B312" s="2">
        <v>7</v>
      </c>
      <c r="C312" s="16">
        <f t="shared" si="48"/>
        <v>3903117</v>
      </c>
      <c r="D312" s="41">
        <v>1832696</v>
      </c>
      <c r="E312" s="41">
        <v>1074792</v>
      </c>
      <c r="F312" s="42">
        <v>372063</v>
      </c>
      <c r="G312" s="42">
        <v>107097</v>
      </c>
      <c r="H312" s="19">
        <f t="shared" si="49"/>
        <v>264966</v>
      </c>
      <c r="I312" s="9">
        <v>2184</v>
      </c>
      <c r="J312" s="9">
        <v>235980</v>
      </c>
      <c r="K312" s="9">
        <v>249189</v>
      </c>
      <c r="L312" s="9">
        <v>136213</v>
      </c>
      <c r="M312" s="23">
        <v>2314275</v>
      </c>
      <c r="N312" s="20">
        <f t="shared" si="61"/>
        <v>-40294</v>
      </c>
      <c r="O312" s="20">
        <f t="shared" si="60"/>
        <v>3862823</v>
      </c>
      <c r="P312" s="23">
        <v>9573</v>
      </c>
      <c r="Q312" s="20">
        <f t="shared" si="58"/>
        <v>241686</v>
      </c>
      <c r="R312" s="23">
        <v>4114082</v>
      </c>
      <c r="S312" s="25">
        <f t="shared" si="59"/>
        <v>5.8746033744587492E-2</v>
      </c>
      <c r="T312" s="60">
        <v>1869261</v>
      </c>
      <c r="U312" s="2">
        <v>2000</v>
      </c>
      <c r="V312" s="2">
        <v>7</v>
      </c>
      <c r="W312" s="16">
        <f t="shared" si="50"/>
        <v>1397021</v>
      </c>
      <c r="X312" s="23">
        <v>1230854</v>
      </c>
      <c r="Y312" s="23">
        <v>143743</v>
      </c>
      <c r="Z312" s="23">
        <v>2481</v>
      </c>
      <c r="AA312" s="23">
        <v>2066</v>
      </c>
      <c r="AB312" s="23">
        <v>17858</v>
      </c>
      <c r="AC312" s="23">
        <v>4</v>
      </c>
      <c r="AD312" s="23">
        <v>15</v>
      </c>
      <c r="AE312" s="20">
        <f t="shared" si="47"/>
        <v>19</v>
      </c>
      <c r="AF312" s="20">
        <f t="shared" si="44"/>
        <v>1397002</v>
      </c>
    </row>
    <row r="313" spans="1:32">
      <c r="A313" s="2">
        <v>2000</v>
      </c>
      <c r="B313" s="2">
        <v>8</v>
      </c>
      <c r="C313" s="16">
        <f t="shared" si="48"/>
        <v>3768800</v>
      </c>
      <c r="D313" s="41">
        <v>1764877</v>
      </c>
      <c r="E313" s="41">
        <v>1032583</v>
      </c>
      <c r="F313" s="42">
        <v>330599</v>
      </c>
      <c r="G313" s="42">
        <v>86005</v>
      </c>
      <c r="H313" s="19">
        <f t="shared" si="49"/>
        <v>244594</v>
      </c>
      <c r="I313" s="9">
        <v>2254</v>
      </c>
      <c r="J313" s="9">
        <v>231026</v>
      </c>
      <c r="K313" s="9">
        <v>292884</v>
      </c>
      <c r="L313" s="9">
        <v>114577</v>
      </c>
      <c r="M313" s="23">
        <v>2536445</v>
      </c>
      <c r="N313" s="20">
        <f t="shared" si="61"/>
        <v>222170</v>
      </c>
      <c r="O313" s="20">
        <f t="shared" si="60"/>
        <v>3990970</v>
      </c>
      <c r="P313" s="23">
        <v>10668</v>
      </c>
      <c r="Q313" s="20">
        <f t="shared" si="58"/>
        <v>207146</v>
      </c>
      <c r="R313" s="23">
        <v>4208784</v>
      </c>
      <c r="S313" s="25">
        <f t="shared" si="59"/>
        <v>4.9217541218556239E-2</v>
      </c>
      <c r="T313" s="60">
        <v>2083518</v>
      </c>
      <c r="U313" s="2">
        <v>2000</v>
      </c>
      <c r="V313" s="2">
        <v>8</v>
      </c>
      <c r="W313" s="16">
        <f t="shared" si="50"/>
        <v>1410326</v>
      </c>
      <c r="X313" s="23">
        <v>1242179</v>
      </c>
      <c r="Y313" s="23">
        <v>145367</v>
      </c>
      <c r="Z313" s="23">
        <v>2530</v>
      </c>
      <c r="AA313" s="23">
        <v>2065</v>
      </c>
      <c r="AB313" s="23">
        <v>18168</v>
      </c>
      <c r="AC313" s="23">
        <v>4</v>
      </c>
      <c r="AD313" s="23">
        <v>13</v>
      </c>
      <c r="AE313" s="20">
        <f t="shared" si="47"/>
        <v>17</v>
      </c>
      <c r="AF313" s="20">
        <f t="shared" si="44"/>
        <v>1410309</v>
      </c>
    </row>
    <row r="314" spans="1:32">
      <c r="A314" s="2">
        <v>2000</v>
      </c>
      <c r="B314" s="2">
        <v>9</v>
      </c>
      <c r="C314" s="16">
        <f t="shared" si="48"/>
        <v>4027470</v>
      </c>
      <c r="D314" s="41">
        <v>1869566</v>
      </c>
      <c r="E314" s="41">
        <v>1076919</v>
      </c>
      <c r="F314" s="42">
        <v>374914</v>
      </c>
      <c r="G314" s="42">
        <v>108113</v>
      </c>
      <c r="H314" s="19">
        <f t="shared" si="49"/>
        <v>266801</v>
      </c>
      <c r="I314" s="9">
        <v>2317</v>
      </c>
      <c r="J314" s="9">
        <v>263993</v>
      </c>
      <c r="K314" s="9">
        <v>311004</v>
      </c>
      <c r="L314" s="9">
        <v>128757</v>
      </c>
      <c r="M314" s="23">
        <v>2132879</v>
      </c>
      <c r="N314" s="20">
        <f t="shared" si="61"/>
        <v>-403566</v>
      </c>
      <c r="O314" s="20">
        <f>(C314+N314)</f>
        <v>3623904</v>
      </c>
      <c r="P314" s="23">
        <v>18034</v>
      </c>
      <c r="Q314" s="20">
        <f>(R314-O314-P314)</f>
        <v>205561</v>
      </c>
      <c r="R314" s="23">
        <v>3847499</v>
      </c>
      <c r="S314" s="25">
        <f>(Q314/R314)</f>
        <v>5.3427174380032326E-2</v>
      </c>
      <c r="T314" s="60">
        <v>1769229</v>
      </c>
      <c r="U314" s="2">
        <v>2000</v>
      </c>
      <c r="V314" s="2">
        <v>9</v>
      </c>
      <c r="W314" s="16">
        <f t="shared" si="50"/>
        <v>1418294</v>
      </c>
      <c r="X314" s="23">
        <v>1248527</v>
      </c>
      <c r="Y314" s="23">
        <v>146996</v>
      </c>
      <c r="Z314" s="23">
        <v>2551</v>
      </c>
      <c r="AA314" s="23">
        <v>2064</v>
      </c>
      <c r="AB314" s="23">
        <v>18138</v>
      </c>
      <c r="AC314" s="23">
        <v>4</v>
      </c>
      <c r="AD314" s="23">
        <v>14</v>
      </c>
      <c r="AE314" s="20">
        <f t="shared" si="47"/>
        <v>18</v>
      </c>
      <c r="AF314" s="20">
        <f t="shared" si="44"/>
        <v>1418276</v>
      </c>
    </row>
    <row r="315" spans="1:32">
      <c r="A315" s="2">
        <v>2000</v>
      </c>
      <c r="B315" s="2">
        <v>10</v>
      </c>
      <c r="C315" s="16">
        <f t="shared" si="48"/>
        <v>3361545</v>
      </c>
      <c r="D315" s="41">
        <v>1456462</v>
      </c>
      <c r="E315" s="41">
        <v>949341</v>
      </c>
      <c r="F315" s="42">
        <v>341251</v>
      </c>
      <c r="G315" s="42">
        <v>107345</v>
      </c>
      <c r="H315" s="19">
        <f t="shared" si="49"/>
        <v>233906</v>
      </c>
      <c r="I315" s="9">
        <v>2310</v>
      </c>
      <c r="J315" s="9">
        <v>235443</v>
      </c>
      <c r="K315" s="9">
        <v>252004</v>
      </c>
      <c r="L315" s="9">
        <v>124734</v>
      </c>
      <c r="M315" s="23">
        <v>1837980</v>
      </c>
      <c r="N315" s="20">
        <f>(M315-M314)</f>
        <v>-294899</v>
      </c>
      <c r="O315" s="20">
        <f>(C315+N315)</f>
        <v>3066646</v>
      </c>
      <c r="P315" s="23">
        <v>8380</v>
      </c>
      <c r="Q315" s="20">
        <f>(R315-O315-P315)</f>
        <v>136807</v>
      </c>
      <c r="R315" s="23">
        <v>3211833</v>
      </c>
      <c r="S315" s="25">
        <f>(Q315/R315)</f>
        <v>4.2594680358536696E-2</v>
      </c>
      <c r="T315" s="60">
        <v>1479340</v>
      </c>
      <c r="U315" s="2">
        <v>2000</v>
      </c>
      <c r="V315" s="2">
        <v>10</v>
      </c>
      <c r="W315" s="16">
        <f t="shared" si="50"/>
        <v>1403443</v>
      </c>
      <c r="X315" s="23">
        <v>1236508</v>
      </c>
      <c r="Y315" s="23">
        <v>144269</v>
      </c>
      <c r="Z315" s="23">
        <v>2543</v>
      </c>
      <c r="AA315" s="23">
        <v>2055</v>
      </c>
      <c r="AB315" s="23">
        <v>18049</v>
      </c>
      <c r="AC315" s="23">
        <v>4</v>
      </c>
      <c r="AD315" s="23">
        <v>15</v>
      </c>
      <c r="AE315" s="20">
        <f t="shared" si="47"/>
        <v>19</v>
      </c>
      <c r="AF315" s="20">
        <f t="shared" si="44"/>
        <v>1403424</v>
      </c>
    </row>
    <row r="316" spans="1:32">
      <c r="A316" s="2">
        <v>2000</v>
      </c>
      <c r="B316" s="2">
        <v>11</v>
      </c>
      <c r="C316" s="16">
        <f t="shared" si="48"/>
        <v>2912549</v>
      </c>
      <c r="D316" s="41">
        <v>1118069</v>
      </c>
      <c r="E316" s="41">
        <v>860163</v>
      </c>
      <c r="F316" s="42">
        <v>346949</v>
      </c>
      <c r="G316" s="42">
        <v>109506</v>
      </c>
      <c r="H316" s="19">
        <f t="shared" si="49"/>
        <v>237443</v>
      </c>
      <c r="I316" s="9">
        <v>2319</v>
      </c>
      <c r="J316" s="9">
        <v>222530</v>
      </c>
      <c r="K316" s="9">
        <v>260159</v>
      </c>
      <c r="L316" s="9">
        <v>102360</v>
      </c>
      <c r="M316" s="23">
        <v>1780986</v>
      </c>
      <c r="N316" s="20">
        <f>(M316-M315)</f>
        <v>-56994</v>
      </c>
      <c r="O316" s="20">
        <f>(C316+N316)</f>
        <v>2855555</v>
      </c>
      <c r="P316" s="23">
        <v>9654</v>
      </c>
      <c r="Q316" s="20">
        <f>(R316-O316-P316)</f>
        <v>113522</v>
      </c>
      <c r="R316" s="23">
        <v>2978731</v>
      </c>
      <c r="S316" s="25">
        <f>(Q316/R316)</f>
        <v>3.8110859960164244E-2</v>
      </c>
      <c r="T316" s="60">
        <v>1484128</v>
      </c>
      <c r="U316" s="2">
        <v>2000</v>
      </c>
      <c r="V316" s="2">
        <v>11</v>
      </c>
      <c r="W316" s="16">
        <f t="shared" si="50"/>
        <v>1476059</v>
      </c>
      <c r="X316" s="23">
        <v>1301474</v>
      </c>
      <c r="Y316" s="23">
        <v>151136</v>
      </c>
      <c r="Z316" s="23">
        <v>2612</v>
      </c>
      <c r="AA316" s="23">
        <v>2059</v>
      </c>
      <c r="AB316" s="23">
        <v>18760</v>
      </c>
      <c r="AC316" s="23">
        <v>4</v>
      </c>
      <c r="AD316" s="23">
        <v>14</v>
      </c>
      <c r="AE316" s="20">
        <f t="shared" si="47"/>
        <v>18</v>
      </c>
      <c r="AF316" s="20">
        <f t="shared" si="44"/>
        <v>1476041</v>
      </c>
    </row>
    <row r="317" spans="1:32" s="26" customFormat="1">
      <c r="A317" s="26">
        <v>2000</v>
      </c>
      <c r="B317" s="26">
        <v>12</v>
      </c>
      <c r="C317" s="27">
        <f t="shared" si="48"/>
        <v>2892039</v>
      </c>
      <c r="D317" s="43">
        <v>1274251</v>
      </c>
      <c r="E317" s="43">
        <v>789083</v>
      </c>
      <c r="F317" s="44">
        <v>316419</v>
      </c>
      <c r="G317" s="44">
        <v>96545</v>
      </c>
      <c r="H317" s="29">
        <f t="shared" si="49"/>
        <v>219874</v>
      </c>
      <c r="I317" s="32">
        <v>2304</v>
      </c>
      <c r="J317" s="32">
        <v>200615</v>
      </c>
      <c r="K317" s="32">
        <v>217914</v>
      </c>
      <c r="L317" s="32">
        <v>91453</v>
      </c>
      <c r="M317" s="33">
        <v>2199901</v>
      </c>
      <c r="N317" s="47">
        <f>(M317-M316)</f>
        <v>418915</v>
      </c>
      <c r="O317" s="47">
        <f>(C317+N317)</f>
        <v>3310954</v>
      </c>
      <c r="P317" s="33">
        <v>13088</v>
      </c>
      <c r="Q317" s="47">
        <f>(R317-O317-P317)</f>
        <v>199327</v>
      </c>
      <c r="R317" s="33">
        <v>3523369</v>
      </c>
      <c r="S317" s="31">
        <f>(Q317/R317)</f>
        <v>5.6572842640098153E-2</v>
      </c>
      <c r="T317" s="70">
        <v>1843542</v>
      </c>
      <c r="U317" s="26">
        <v>2000</v>
      </c>
      <c r="V317" s="26">
        <v>12</v>
      </c>
      <c r="W317" s="27">
        <f t="shared" si="50"/>
        <v>1383648</v>
      </c>
      <c r="X317" s="33">
        <v>1220408</v>
      </c>
      <c r="Y317" s="33">
        <v>140796</v>
      </c>
      <c r="Z317" s="33">
        <v>2477</v>
      </c>
      <c r="AA317" s="33">
        <v>2050</v>
      </c>
      <c r="AB317" s="33">
        <v>17898</v>
      </c>
      <c r="AC317" s="33">
        <v>4</v>
      </c>
      <c r="AD317" s="33">
        <v>15</v>
      </c>
      <c r="AE317" s="20">
        <f t="shared" si="47"/>
        <v>19</v>
      </c>
      <c r="AF317" s="20">
        <f t="shared" si="44"/>
        <v>1383629</v>
      </c>
    </row>
    <row r="318" spans="1:32">
      <c r="A318" s="2">
        <f>A306+1</f>
        <v>2001</v>
      </c>
      <c r="B318" s="2">
        <f t="shared" ref="B318:B349" si="62">B306</f>
        <v>1</v>
      </c>
      <c r="C318" s="16">
        <f t="shared" si="48"/>
        <v>3651021</v>
      </c>
      <c r="D318" s="41">
        <v>1964657</v>
      </c>
      <c r="E318" s="41">
        <v>861193</v>
      </c>
      <c r="F318" s="42">
        <v>331367</v>
      </c>
      <c r="G318" s="42">
        <v>96126</v>
      </c>
      <c r="H318" s="19">
        <f t="shared" si="49"/>
        <v>235241</v>
      </c>
      <c r="I318" s="38">
        <v>2330</v>
      </c>
      <c r="J318" s="38">
        <v>209831</v>
      </c>
      <c r="K318" s="38">
        <v>208138</v>
      </c>
      <c r="L318" s="38">
        <v>73505</v>
      </c>
      <c r="M318" s="23">
        <v>2015606</v>
      </c>
      <c r="N318" s="20">
        <f t="shared" ref="N318:N329" si="63">(M318-M317)</f>
        <v>-184295</v>
      </c>
      <c r="O318" s="20">
        <f t="shared" ref="O318:O329" si="64">(C318+N318)</f>
        <v>3466726</v>
      </c>
      <c r="P318" s="23">
        <v>9454</v>
      </c>
      <c r="Q318" s="20">
        <f t="shared" ref="Q318:Q334" si="65">(R318-O318-P318)</f>
        <v>258034</v>
      </c>
      <c r="R318" s="23">
        <v>3734214</v>
      </c>
      <c r="S318" s="25">
        <f t="shared" ref="S318:S334" si="66">(Q318/R318)</f>
        <v>6.9099949815409609E-2</v>
      </c>
      <c r="T318" s="60">
        <v>1646778</v>
      </c>
      <c r="U318" s="2">
        <v>2001</v>
      </c>
      <c r="V318" s="2">
        <v>1</v>
      </c>
      <c r="W318" s="16">
        <f t="shared" si="50"/>
        <v>1465055</v>
      </c>
      <c r="X318" s="23">
        <v>1294507</v>
      </c>
      <c r="Y318" s="23">
        <v>147240</v>
      </c>
      <c r="Z318" s="23">
        <v>2564</v>
      </c>
      <c r="AA318" s="23">
        <v>2046</v>
      </c>
      <c r="AB318" s="23">
        <v>18682</v>
      </c>
      <c r="AC318" s="23">
        <v>4</v>
      </c>
      <c r="AD318" s="23">
        <v>12</v>
      </c>
      <c r="AE318" s="20">
        <f t="shared" si="47"/>
        <v>16</v>
      </c>
      <c r="AF318" s="20">
        <f t="shared" si="44"/>
        <v>1465039</v>
      </c>
    </row>
    <row r="319" spans="1:32">
      <c r="A319" s="2">
        <f t="shared" ref="A319:A341" si="67">A307+1</f>
        <v>2001</v>
      </c>
      <c r="B319" s="2">
        <f t="shared" si="62"/>
        <v>2</v>
      </c>
      <c r="C319" s="16">
        <f t="shared" si="48"/>
        <v>2988627</v>
      </c>
      <c r="D319" s="38">
        <v>1368539</v>
      </c>
      <c r="E319" s="38">
        <v>783016</v>
      </c>
      <c r="F319" s="40">
        <v>296037</v>
      </c>
      <c r="G319" s="40">
        <v>90685</v>
      </c>
      <c r="H319" s="20">
        <f t="shared" si="49"/>
        <v>205352</v>
      </c>
      <c r="I319" s="38">
        <v>2358</v>
      </c>
      <c r="J319" s="38">
        <v>197894</v>
      </c>
      <c r="K319" s="38">
        <v>236300</v>
      </c>
      <c r="L319" s="38">
        <v>104483</v>
      </c>
      <c r="M319" s="23">
        <v>1535483</v>
      </c>
      <c r="N319" s="20">
        <f t="shared" si="63"/>
        <v>-480123</v>
      </c>
      <c r="O319" s="20">
        <f t="shared" si="64"/>
        <v>2508504</v>
      </c>
      <c r="P319" s="23">
        <v>9977</v>
      </c>
      <c r="Q319" s="20">
        <f t="shared" si="65"/>
        <v>136967</v>
      </c>
      <c r="R319" s="23">
        <v>2655448</v>
      </c>
      <c r="S319" s="25">
        <f t="shared" si="66"/>
        <v>5.157962046328906E-2</v>
      </c>
      <c r="T319" s="60">
        <v>1350543</v>
      </c>
      <c r="U319" s="2">
        <v>2001</v>
      </c>
      <c r="V319" s="2">
        <v>2</v>
      </c>
      <c r="W319" s="16">
        <f t="shared" si="50"/>
        <v>1434861</v>
      </c>
      <c r="X319" s="23">
        <v>1267334</v>
      </c>
      <c r="Y319" s="23">
        <v>144594</v>
      </c>
      <c r="Z319" s="23">
        <v>2565</v>
      </c>
      <c r="AA319" s="23">
        <v>2036</v>
      </c>
      <c r="AB319" s="23">
        <v>18314</v>
      </c>
      <c r="AC319" s="23">
        <v>4</v>
      </c>
      <c r="AD319" s="23">
        <v>14</v>
      </c>
      <c r="AE319" s="20">
        <f t="shared" si="47"/>
        <v>18</v>
      </c>
      <c r="AF319" s="20">
        <f t="shared" si="44"/>
        <v>1434843</v>
      </c>
    </row>
    <row r="320" spans="1:32">
      <c r="A320" s="2">
        <f t="shared" si="67"/>
        <v>2001</v>
      </c>
      <c r="B320" s="2">
        <f t="shared" si="62"/>
        <v>3</v>
      </c>
      <c r="C320" s="16">
        <f t="shared" si="48"/>
        <v>2618604</v>
      </c>
      <c r="D320" s="38">
        <v>1075666</v>
      </c>
      <c r="E320" s="38">
        <v>778284</v>
      </c>
      <c r="F320" s="40">
        <v>351874</v>
      </c>
      <c r="G320" s="40">
        <v>93634</v>
      </c>
      <c r="H320" s="20">
        <f t="shared" si="49"/>
        <v>258240</v>
      </c>
      <c r="I320" s="38">
        <v>2228</v>
      </c>
      <c r="J320" s="38">
        <v>201040</v>
      </c>
      <c r="K320" s="38">
        <v>117440</v>
      </c>
      <c r="L320" s="38">
        <v>92072</v>
      </c>
      <c r="M320" s="23">
        <v>1704303</v>
      </c>
      <c r="N320" s="20">
        <f t="shared" si="63"/>
        <v>168820</v>
      </c>
      <c r="O320" s="20">
        <f t="shared" si="64"/>
        <v>2787424</v>
      </c>
      <c r="P320" s="23">
        <v>10039</v>
      </c>
      <c r="Q320" s="20">
        <f t="shared" si="65"/>
        <v>165172</v>
      </c>
      <c r="R320" s="23">
        <v>2962635</v>
      </c>
      <c r="S320" s="25">
        <f t="shared" si="66"/>
        <v>5.5751721018620248E-2</v>
      </c>
      <c r="T320" s="60">
        <v>1458450</v>
      </c>
      <c r="U320" s="2">
        <v>2001</v>
      </c>
      <c r="V320" s="2">
        <v>3</v>
      </c>
      <c r="W320" s="16">
        <f t="shared" si="50"/>
        <v>1387526</v>
      </c>
      <c r="X320" s="23">
        <v>1224581</v>
      </c>
      <c r="Y320" s="23">
        <v>140517</v>
      </c>
      <c r="Z320" s="23">
        <v>2479</v>
      </c>
      <c r="AA320" s="23">
        <v>2031</v>
      </c>
      <c r="AB320" s="23">
        <v>17899</v>
      </c>
      <c r="AC320" s="23">
        <v>4</v>
      </c>
      <c r="AD320" s="23">
        <v>15</v>
      </c>
      <c r="AE320" s="20">
        <f t="shared" si="47"/>
        <v>19</v>
      </c>
      <c r="AF320" s="20">
        <f t="shared" si="44"/>
        <v>1387507</v>
      </c>
    </row>
    <row r="321" spans="1:32">
      <c r="A321" s="2">
        <f t="shared" si="67"/>
        <v>2001</v>
      </c>
      <c r="B321" s="2">
        <f t="shared" si="62"/>
        <v>4</v>
      </c>
      <c r="C321" s="16">
        <f t="shared" si="48"/>
        <v>2856598</v>
      </c>
      <c r="D321" s="38">
        <v>1184065</v>
      </c>
      <c r="E321" s="38">
        <v>872437</v>
      </c>
      <c r="F321" s="40">
        <v>335141</v>
      </c>
      <c r="G321" s="40">
        <v>94460</v>
      </c>
      <c r="H321" s="20">
        <f t="shared" si="49"/>
        <v>240681</v>
      </c>
      <c r="I321" s="38">
        <v>2546</v>
      </c>
      <c r="J321" s="38">
        <v>212974</v>
      </c>
      <c r="K321" s="38">
        <v>179734</v>
      </c>
      <c r="L321" s="38">
        <v>69701</v>
      </c>
      <c r="M321" s="23">
        <v>1801309</v>
      </c>
      <c r="N321" s="20">
        <f t="shared" si="63"/>
        <v>97006</v>
      </c>
      <c r="O321" s="20">
        <f t="shared" si="64"/>
        <v>2953604</v>
      </c>
      <c r="P321" s="23">
        <v>8937</v>
      </c>
      <c r="Q321" s="20">
        <f t="shared" si="65"/>
        <v>163994</v>
      </c>
      <c r="R321" s="23">
        <v>3126535</v>
      </c>
      <c r="S321" s="25">
        <f t="shared" si="66"/>
        <v>5.2452315422664389E-2</v>
      </c>
      <c r="T321" s="60">
        <v>1499854</v>
      </c>
      <c r="U321" s="2">
        <v>2001</v>
      </c>
      <c r="V321" s="2">
        <v>4</v>
      </c>
      <c r="W321" s="16">
        <f t="shared" si="50"/>
        <v>1476178</v>
      </c>
      <c r="X321" s="23">
        <v>1302870</v>
      </c>
      <c r="Y321" s="23">
        <v>149771</v>
      </c>
      <c r="Z321" s="23">
        <v>2600</v>
      </c>
      <c r="AA321" s="23">
        <v>2028</v>
      </c>
      <c r="AB321" s="23">
        <v>18891</v>
      </c>
      <c r="AC321" s="23">
        <v>4</v>
      </c>
      <c r="AD321" s="23">
        <v>14</v>
      </c>
      <c r="AE321" s="20">
        <f t="shared" si="47"/>
        <v>18</v>
      </c>
      <c r="AF321" s="20">
        <f t="shared" si="44"/>
        <v>1476160</v>
      </c>
    </row>
    <row r="322" spans="1:32">
      <c r="A322" s="2">
        <f t="shared" si="67"/>
        <v>2001</v>
      </c>
      <c r="B322" s="2">
        <f t="shared" si="62"/>
        <v>5</v>
      </c>
      <c r="C322" s="16">
        <f t="shared" si="48"/>
        <v>2944433</v>
      </c>
      <c r="D322" s="38">
        <v>1203111</v>
      </c>
      <c r="E322" s="38">
        <v>878941</v>
      </c>
      <c r="F322" s="40">
        <v>329010</v>
      </c>
      <c r="G322" s="40">
        <v>89322</v>
      </c>
      <c r="H322" s="20">
        <f t="shared" si="49"/>
        <v>239688</v>
      </c>
      <c r="I322" s="38">
        <v>2208</v>
      </c>
      <c r="J322" s="38">
        <v>219153</v>
      </c>
      <c r="K322" s="38">
        <v>235695</v>
      </c>
      <c r="L322" s="38">
        <v>76315</v>
      </c>
      <c r="M322" s="23">
        <v>2170860</v>
      </c>
      <c r="N322" s="20">
        <f t="shared" si="63"/>
        <v>369551</v>
      </c>
      <c r="O322" s="20">
        <f t="shared" si="64"/>
        <v>3313984</v>
      </c>
      <c r="P322" s="23">
        <v>17671</v>
      </c>
      <c r="Q322" s="20">
        <f t="shared" si="65"/>
        <v>153427</v>
      </c>
      <c r="R322" s="23">
        <v>3485082</v>
      </c>
      <c r="S322" s="25">
        <f t="shared" si="66"/>
        <v>4.4023928274858383E-2</v>
      </c>
      <c r="T322" s="60">
        <v>1840115</v>
      </c>
      <c r="U322" s="2">
        <v>2001</v>
      </c>
      <c r="V322" s="2">
        <v>5</v>
      </c>
      <c r="W322" s="16">
        <f t="shared" si="50"/>
        <v>1440060</v>
      </c>
      <c r="X322" s="23">
        <v>1270615</v>
      </c>
      <c r="Y322" s="23">
        <v>146146</v>
      </c>
      <c r="Z322" s="23">
        <v>2594</v>
      </c>
      <c r="AA322" s="23">
        <v>2022</v>
      </c>
      <c r="AB322" s="23">
        <v>18665</v>
      </c>
      <c r="AC322" s="23">
        <v>4</v>
      </c>
      <c r="AD322" s="23">
        <v>14</v>
      </c>
      <c r="AE322" s="20">
        <f t="shared" si="47"/>
        <v>18</v>
      </c>
      <c r="AF322" s="20">
        <f t="shared" si="44"/>
        <v>1440042</v>
      </c>
    </row>
    <row r="323" spans="1:32">
      <c r="A323" s="2">
        <f t="shared" si="67"/>
        <v>2001</v>
      </c>
      <c r="B323" s="2">
        <f t="shared" si="62"/>
        <v>6</v>
      </c>
      <c r="C323" s="16">
        <f t="shared" si="48"/>
        <v>3580950</v>
      </c>
      <c r="D323" s="38">
        <v>1675883</v>
      </c>
      <c r="E323" s="38">
        <v>1028951</v>
      </c>
      <c r="F323" s="40">
        <v>345621</v>
      </c>
      <c r="G323" s="40">
        <v>86296</v>
      </c>
      <c r="H323" s="20">
        <f t="shared" si="49"/>
        <v>259325</v>
      </c>
      <c r="I323" s="38">
        <v>2458</v>
      </c>
      <c r="J323" s="38">
        <v>236105</v>
      </c>
      <c r="K323" s="38">
        <v>172486</v>
      </c>
      <c r="L323" s="38">
        <v>119446</v>
      </c>
      <c r="M323" s="23">
        <v>2259000</v>
      </c>
      <c r="N323" s="20">
        <f t="shared" si="63"/>
        <v>88140</v>
      </c>
      <c r="O323" s="20">
        <f t="shared" si="64"/>
        <v>3669090</v>
      </c>
      <c r="P323" s="23">
        <v>10400</v>
      </c>
      <c r="Q323" s="20">
        <f t="shared" si="65"/>
        <v>200988</v>
      </c>
      <c r="R323" s="23">
        <v>3880478</v>
      </c>
      <c r="S323" s="25">
        <f t="shared" si="66"/>
        <v>5.1794650040536246E-2</v>
      </c>
      <c r="T323" s="60">
        <v>1889487</v>
      </c>
      <c r="U323" s="2">
        <v>2001</v>
      </c>
      <c r="V323" s="2">
        <v>6</v>
      </c>
      <c r="W323" s="16">
        <f t="shared" si="50"/>
        <v>1440999</v>
      </c>
      <c r="X323" s="23">
        <v>1270443</v>
      </c>
      <c r="Y323" s="23">
        <v>147130</v>
      </c>
      <c r="Z323" s="23">
        <v>2588</v>
      </c>
      <c r="AA323" s="23">
        <v>2011</v>
      </c>
      <c r="AB323" s="23">
        <v>18805</v>
      </c>
      <c r="AC323" s="23">
        <v>5</v>
      </c>
      <c r="AD323" s="23">
        <v>17</v>
      </c>
      <c r="AE323" s="20">
        <f t="shared" si="47"/>
        <v>22</v>
      </c>
      <c r="AF323" s="20">
        <f t="shared" si="44"/>
        <v>1440977</v>
      </c>
    </row>
    <row r="324" spans="1:32">
      <c r="A324" s="2">
        <f t="shared" si="67"/>
        <v>2001</v>
      </c>
      <c r="B324" s="2">
        <f t="shared" si="62"/>
        <v>7</v>
      </c>
      <c r="C324" s="16">
        <f t="shared" si="48"/>
        <v>3669239</v>
      </c>
      <c r="D324" s="38">
        <v>1727566</v>
      </c>
      <c r="E324" s="38">
        <v>1023525</v>
      </c>
      <c r="F324" s="40">
        <v>304736</v>
      </c>
      <c r="G324" s="40">
        <v>83637</v>
      </c>
      <c r="H324" s="20">
        <f t="shared" si="49"/>
        <v>221099</v>
      </c>
      <c r="I324" s="38">
        <v>2350</v>
      </c>
      <c r="J324" s="38">
        <v>229365</v>
      </c>
      <c r="K324" s="38">
        <v>210000</v>
      </c>
      <c r="L324" s="38">
        <v>171697</v>
      </c>
      <c r="M324" s="23">
        <v>2329342</v>
      </c>
      <c r="N324" s="20">
        <f t="shared" si="63"/>
        <v>70342</v>
      </c>
      <c r="O324" s="20">
        <f t="shared" si="64"/>
        <v>3739581</v>
      </c>
      <c r="P324" s="23">
        <v>12985</v>
      </c>
      <c r="Q324" s="20">
        <f t="shared" si="65"/>
        <v>259857</v>
      </c>
      <c r="R324" s="23">
        <v>4012423</v>
      </c>
      <c r="S324" s="25">
        <f t="shared" si="66"/>
        <v>6.476311196501465E-2</v>
      </c>
      <c r="T324" s="60">
        <v>1947920</v>
      </c>
      <c r="U324" s="2">
        <v>2001</v>
      </c>
      <c r="V324" s="2">
        <v>7</v>
      </c>
      <c r="W324" s="16">
        <f t="shared" si="50"/>
        <v>1419247</v>
      </c>
      <c r="X324" s="23">
        <v>1251359</v>
      </c>
      <c r="Y324" s="23">
        <v>144937</v>
      </c>
      <c r="Z324" s="23">
        <v>2497</v>
      </c>
      <c r="AA324" s="23">
        <v>2009</v>
      </c>
      <c r="AB324" s="23">
        <v>18421</v>
      </c>
      <c r="AC324" s="23">
        <v>5</v>
      </c>
      <c r="AD324" s="23">
        <v>19</v>
      </c>
      <c r="AE324" s="20">
        <f t="shared" si="47"/>
        <v>24</v>
      </c>
      <c r="AF324" s="20">
        <f t="shared" si="44"/>
        <v>1419223</v>
      </c>
    </row>
    <row r="325" spans="1:32">
      <c r="A325" s="2">
        <f t="shared" si="67"/>
        <v>2001</v>
      </c>
      <c r="B325" s="2">
        <f t="shared" si="62"/>
        <v>8</v>
      </c>
      <c r="C325" s="16">
        <f t="shared" si="48"/>
        <v>3705606</v>
      </c>
      <c r="D325" s="38">
        <v>1747142</v>
      </c>
      <c r="E325" s="38">
        <v>1051280</v>
      </c>
      <c r="F325" s="40">
        <v>299781</v>
      </c>
      <c r="G325" s="40">
        <v>50701</v>
      </c>
      <c r="H325" s="20">
        <f t="shared" si="49"/>
        <v>249080</v>
      </c>
      <c r="I325" s="38">
        <v>2297</v>
      </c>
      <c r="J325" s="38">
        <v>238541</v>
      </c>
      <c r="K325" s="38">
        <v>229557</v>
      </c>
      <c r="L325" s="38">
        <v>137008</v>
      </c>
      <c r="M325" s="23">
        <v>2691393</v>
      </c>
      <c r="N325" s="20">
        <f t="shared" si="63"/>
        <v>362051</v>
      </c>
      <c r="O325" s="20">
        <f t="shared" si="64"/>
        <v>4067657</v>
      </c>
      <c r="P325" s="23">
        <v>10013</v>
      </c>
      <c r="Q325" s="20">
        <f t="shared" si="65"/>
        <v>212337</v>
      </c>
      <c r="R325" s="23">
        <v>4290007</v>
      </c>
      <c r="S325" s="25">
        <f t="shared" si="66"/>
        <v>4.9495723433551506E-2</v>
      </c>
      <c r="T325" s="60">
        <v>2248864</v>
      </c>
      <c r="U325" s="2">
        <v>2001</v>
      </c>
      <c r="V325" s="2">
        <v>8</v>
      </c>
      <c r="W325" s="16">
        <f t="shared" si="50"/>
        <v>1449904</v>
      </c>
      <c r="X325" s="23">
        <v>1278187</v>
      </c>
      <c r="Y325" s="23">
        <v>148219</v>
      </c>
      <c r="Z325" s="23">
        <v>2576</v>
      </c>
      <c r="AA325" s="23">
        <v>2004</v>
      </c>
      <c r="AB325" s="23">
        <v>18895</v>
      </c>
      <c r="AC325" s="23">
        <v>6</v>
      </c>
      <c r="AD325" s="23">
        <v>17</v>
      </c>
      <c r="AE325" s="20">
        <f t="shared" si="47"/>
        <v>23</v>
      </c>
      <c r="AF325" s="20">
        <f t="shared" si="44"/>
        <v>1449881</v>
      </c>
    </row>
    <row r="326" spans="1:32">
      <c r="A326" s="2">
        <f t="shared" si="67"/>
        <v>2001</v>
      </c>
      <c r="B326" s="2">
        <f t="shared" si="62"/>
        <v>9</v>
      </c>
      <c r="C326" s="16">
        <f t="shared" si="48"/>
        <v>4043995</v>
      </c>
      <c r="D326" s="38">
        <v>1895091</v>
      </c>
      <c r="E326" s="38">
        <v>1088966</v>
      </c>
      <c r="F326" s="40">
        <v>329082</v>
      </c>
      <c r="G326" s="40">
        <v>86603</v>
      </c>
      <c r="H326" s="20">
        <f t="shared" si="49"/>
        <v>242479</v>
      </c>
      <c r="I326" s="38">
        <v>2397</v>
      </c>
      <c r="J326" s="38">
        <v>275597</v>
      </c>
      <c r="K326" s="38">
        <v>289040</v>
      </c>
      <c r="L326" s="38">
        <v>163822</v>
      </c>
      <c r="M326" s="23">
        <v>2077907</v>
      </c>
      <c r="N326" s="20">
        <f t="shared" si="63"/>
        <v>-613486</v>
      </c>
      <c r="O326" s="20">
        <f t="shared" si="64"/>
        <v>3430509</v>
      </c>
      <c r="P326" s="23">
        <v>14206</v>
      </c>
      <c r="Q326" s="20">
        <f t="shared" si="65"/>
        <v>166908</v>
      </c>
      <c r="R326" s="23">
        <v>3611623</v>
      </c>
      <c r="S326" s="25">
        <f t="shared" si="66"/>
        <v>4.6214125892984952E-2</v>
      </c>
      <c r="T326" s="60">
        <v>1735807</v>
      </c>
      <c r="U326" s="2">
        <v>2001</v>
      </c>
      <c r="V326" s="2">
        <v>9</v>
      </c>
      <c r="W326" s="16">
        <f t="shared" si="50"/>
        <v>1452336</v>
      </c>
      <c r="X326" s="23">
        <v>1279633</v>
      </c>
      <c r="Y326" s="23">
        <v>149136</v>
      </c>
      <c r="Z326" s="23">
        <v>2559</v>
      </c>
      <c r="AA326" s="23">
        <v>2004</v>
      </c>
      <c r="AB326" s="23">
        <v>18983</v>
      </c>
      <c r="AC326" s="23">
        <v>4</v>
      </c>
      <c r="AD326" s="23">
        <v>17</v>
      </c>
      <c r="AE326" s="20">
        <f t="shared" si="47"/>
        <v>21</v>
      </c>
      <c r="AF326" s="20">
        <f t="shared" si="44"/>
        <v>1452315</v>
      </c>
    </row>
    <row r="327" spans="1:32">
      <c r="A327" s="2">
        <f t="shared" si="67"/>
        <v>2001</v>
      </c>
      <c r="B327" s="2">
        <f t="shared" si="62"/>
        <v>10</v>
      </c>
      <c r="C327" s="16">
        <f t="shared" si="48"/>
        <v>3195171</v>
      </c>
      <c r="D327" s="38">
        <v>1377564</v>
      </c>
      <c r="E327" s="38">
        <v>922278</v>
      </c>
      <c r="F327" s="40">
        <v>310115</v>
      </c>
      <c r="G327" s="40">
        <v>77614</v>
      </c>
      <c r="H327" s="20">
        <f t="shared" si="49"/>
        <v>232501</v>
      </c>
      <c r="I327" s="38">
        <v>2353</v>
      </c>
      <c r="J327" s="38">
        <v>226750</v>
      </c>
      <c r="K327" s="38">
        <v>222132</v>
      </c>
      <c r="L327" s="38">
        <v>133979</v>
      </c>
      <c r="M327" s="23">
        <v>1984799</v>
      </c>
      <c r="N327" s="20">
        <f t="shared" si="63"/>
        <v>-93108</v>
      </c>
      <c r="O327" s="20">
        <f t="shared" si="64"/>
        <v>3102063</v>
      </c>
      <c r="P327" s="23">
        <v>14714</v>
      </c>
      <c r="Q327" s="20">
        <f t="shared" si="65"/>
        <v>183510</v>
      </c>
      <c r="R327" s="23">
        <v>3300287</v>
      </c>
      <c r="S327" s="25">
        <f t="shared" si="66"/>
        <v>5.5604255023881256E-2</v>
      </c>
      <c r="T327" s="60">
        <v>1677059</v>
      </c>
      <c r="U327" s="2">
        <v>2001</v>
      </c>
      <c r="V327" s="2">
        <v>10</v>
      </c>
      <c r="W327" s="16">
        <f t="shared" si="50"/>
        <v>1443624</v>
      </c>
      <c r="X327" s="23">
        <v>1273108</v>
      </c>
      <c r="Y327" s="23">
        <v>147227</v>
      </c>
      <c r="Z327" s="23">
        <v>2507</v>
      </c>
      <c r="AA327" s="23">
        <v>2004</v>
      </c>
      <c r="AB327" s="23">
        <v>18759</v>
      </c>
      <c r="AC327" s="23">
        <v>4</v>
      </c>
      <c r="AD327" s="23">
        <v>15</v>
      </c>
      <c r="AE327" s="20">
        <f t="shared" si="47"/>
        <v>19</v>
      </c>
      <c r="AF327" s="20">
        <f t="shared" ref="AF327:AF390" si="68">SUM(X327:AB327)</f>
        <v>1443605</v>
      </c>
    </row>
    <row r="328" spans="1:32">
      <c r="A328" s="2">
        <f t="shared" si="67"/>
        <v>2001</v>
      </c>
      <c r="B328" s="2">
        <f t="shared" si="62"/>
        <v>11</v>
      </c>
      <c r="C328" s="16">
        <f t="shared" si="48"/>
        <v>3014045</v>
      </c>
      <c r="D328" s="38">
        <v>1216435</v>
      </c>
      <c r="E328" s="38">
        <v>901526</v>
      </c>
      <c r="F328" s="40">
        <v>328973</v>
      </c>
      <c r="G328" s="40">
        <v>90040</v>
      </c>
      <c r="H328" s="20">
        <f t="shared" si="49"/>
        <v>238933</v>
      </c>
      <c r="I328" s="38">
        <v>2349</v>
      </c>
      <c r="J328" s="38">
        <v>223884</v>
      </c>
      <c r="K328" s="38">
        <v>213007</v>
      </c>
      <c r="L328" s="38">
        <v>127871</v>
      </c>
      <c r="M328" s="23">
        <v>1663372</v>
      </c>
      <c r="N328" s="20">
        <f t="shared" si="63"/>
        <v>-321427</v>
      </c>
      <c r="O328" s="20">
        <f t="shared" si="64"/>
        <v>2692618</v>
      </c>
      <c r="P328" s="23">
        <v>8779</v>
      </c>
      <c r="Q328" s="20">
        <f t="shared" si="65"/>
        <v>104773</v>
      </c>
      <c r="R328" s="23">
        <v>2806170</v>
      </c>
      <c r="S328" s="25">
        <f t="shared" si="66"/>
        <v>3.7336654586144102E-2</v>
      </c>
      <c r="T328" s="60">
        <v>1422730</v>
      </c>
      <c r="U328" s="2">
        <v>2001</v>
      </c>
      <c r="V328" s="2">
        <v>11</v>
      </c>
      <c r="W328" s="16">
        <f t="shared" si="50"/>
        <v>1495922</v>
      </c>
      <c r="X328" s="23">
        <v>1318718</v>
      </c>
      <c r="Y328" s="23">
        <v>153014</v>
      </c>
      <c r="Z328" s="23">
        <v>2589</v>
      </c>
      <c r="AA328" s="23">
        <v>2005</v>
      </c>
      <c r="AB328" s="23">
        <v>19576</v>
      </c>
      <c r="AC328" s="23">
        <v>4</v>
      </c>
      <c r="AD328" s="23">
        <v>16</v>
      </c>
      <c r="AE328" s="20">
        <f t="shared" si="47"/>
        <v>20</v>
      </c>
      <c r="AF328" s="20">
        <f t="shared" si="68"/>
        <v>1495902</v>
      </c>
    </row>
    <row r="329" spans="1:32" s="26" customFormat="1">
      <c r="A329" s="26">
        <f t="shared" si="67"/>
        <v>2001</v>
      </c>
      <c r="B329" s="26">
        <f t="shared" si="62"/>
        <v>12</v>
      </c>
      <c r="C329" s="27">
        <f t="shared" si="48"/>
        <v>2834013</v>
      </c>
      <c r="D329" s="45">
        <v>1168016</v>
      </c>
      <c r="E329" s="45">
        <v>870255</v>
      </c>
      <c r="F329" s="46">
        <v>310603</v>
      </c>
      <c r="G329" s="46">
        <v>82849</v>
      </c>
      <c r="H329" s="47">
        <f t="shared" si="49"/>
        <v>227754</v>
      </c>
      <c r="I329" s="45">
        <v>2265</v>
      </c>
      <c r="J329" s="45">
        <v>226909</v>
      </c>
      <c r="K329" s="45">
        <v>147619</v>
      </c>
      <c r="L329" s="45">
        <v>108346</v>
      </c>
      <c r="M329" s="33">
        <v>1688608</v>
      </c>
      <c r="N329" s="47">
        <f t="shared" si="63"/>
        <v>25236</v>
      </c>
      <c r="O329" s="47">
        <f t="shared" si="64"/>
        <v>2859249</v>
      </c>
      <c r="P329" s="33">
        <v>13364</v>
      </c>
      <c r="Q329" s="47">
        <f t="shared" si="65"/>
        <v>195053</v>
      </c>
      <c r="R329" s="33">
        <v>3067666</v>
      </c>
      <c r="S329" s="31">
        <f t="shared" si="66"/>
        <v>6.3583519196679164E-2</v>
      </c>
      <c r="T329" s="70">
        <v>1492433</v>
      </c>
      <c r="U329" s="26">
        <v>2001</v>
      </c>
      <c r="V329" s="26">
        <v>12</v>
      </c>
      <c r="W329" s="27">
        <f t="shared" si="50"/>
        <v>1433779</v>
      </c>
      <c r="X329" s="33">
        <v>1264707</v>
      </c>
      <c r="Y329" s="33">
        <v>145862</v>
      </c>
      <c r="Z329" s="33">
        <v>2498</v>
      </c>
      <c r="AA329" s="33">
        <v>1980</v>
      </c>
      <c r="AB329" s="33">
        <v>18713</v>
      </c>
      <c r="AC329" s="33">
        <v>4</v>
      </c>
      <c r="AD329" s="33">
        <v>15</v>
      </c>
      <c r="AE329" s="20">
        <f t="shared" si="47"/>
        <v>19</v>
      </c>
      <c r="AF329" s="20">
        <f t="shared" si="68"/>
        <v>1433760</v>
      </c>
    </row>
    <row r="330" spans="1:32">
      <c r="A330" s="2">
        <f t="shared" si="67"/>
        <v>2002</v>
      </c>
      <c r="B330" s="2">
        <f t="shared" si="62"/>
        <v>1</v>
      </c>
      <c r="C330" s="16">
        <f t="shared" si="48"/>
        <v>3189579</v>
      </c>
      <c r="D330" s="38">
        <v>1616959</v>
      </c>
      <c r="E330" s="38">
        <v>856748</v>
      </c>
      <c r="F330" s="40">
        <v>270326</v>
      </c>
      <c r="G330" s="40">
        <v>58455</v>
      </c>
      <c r="H330" s="20">
        <f t="shared" si="49"/>
        <v>211871</v>
      </c>
      <c r="I330" s="38">
        <v>2348</v>
      </c>
      <c r="J330" s="38">
        <v>208358</v>
      </c>
      <c r="K330" s="38">
        <v>107159</v>
      </c>
      <c r="L330" s="38">
        <v>127681</v>
      </c>
      <c r="M330" s="23">
        <v>1621041</v>
      </c>
      <c r="N330" s="20">
        <f t="shared" ref="N330:N335" si="69">(M330-M329)</f>
        <v>-67567</v>
      </c>
      <c r="O330" s="20">
        <f t="shared" ref="O330:O335" si="70">(C330+N330)</f>
        <v>3122012</v>
      </c>
      <c r="P330" s="23">
        <v>10251</v>
      </c>
      <c r="Q330" s="20">
        <f t="shared" si="65"/>
        <v>187738</v>
      </c>
      <c r="R330" s="23">
        <v>3320001</v>
      </c>
      <c r="S330" s="25">
        <f t="shared" si="66"/>
        <v>5.6547573329044178E-2</v>
      </c>
      <c r="T330" s="60">
        <v>1454312</v>
      </c>
      <c r="U330" s="2">
        <f t="shared" ref="U330:U393" si="71">U318+1</f>
        <v>2002</v>
      </c>
      <c r="V330" s="2">
        <f t="shared" ref="V330:V393" si="72">V318</f>
        <v>1</v>
      </c>
      <c r="W330" s="16">
        <f t="shared" si="50"/>
        <v>1475858</v>
      </c>
      <c r="X330" s="23">
        <v>1303326</v>
      </c>
      <c r="Y330" s="23">
        <v>148985</v>
      </c>
      <c r="Z330" s="23">
        <v>2570</v>
      </c>
      <c r="AA330" s="23">
        <v>1983</v>
      </c>
      <c r="AB330" s="23">
        <v>18967</v>
      </c>
      <c r="AC330" s="23">
        <v>6</v>
      </c>
      <c r="AD330" s="23">
        <v>21</v>
      </c>
      <c r="AE330" s="20">
        <f t="shared" si="47"/>
        <v>27</v>
      </c>
      <c r="AF330" s="20">
        <f t="shared" si="68"/>
        <v>1475831</v>
      </c>
    </row>
    <row r="331" spans="1:32">
      <c r="A331" s="2">
        <f t="shared" si="67"/>
        <v>2002</v>
      </c>
      <c r="B331" s="2">
        <f t="shared" si="62"/>
        <v>2</v>
      </c>
      <c r="C331" s="16">
        <f t="shared" si="48"/>
        <v>2688759</v>
      </c>
      <c r="D331" s="38">
        <v>1190155</v>
      </c>
      <c r="E331" s="38">
        <v>794172</v>
      </c>
      <c r="F331" s="40">
        <v>319236</v>
      </c>
      <c r="G331" s="40">
        <v>88175</v>
      </c>
      <c r="H331" s="20">
        <f t="shared" si="49"/>
        <v>231061</v>
      </c>
      <c r="I331" s="38">
        <v>2351</v>
      </c>
      <c r="J331" s="38">
        <v>204591</v>
      </c>
      <c r="K331" s="38">
        <v>44769</v>
      </c>
      <c r="L331" s="38">
        <v>133485</v>
      </c>
      <c r="M331" s="23">
        <v>1447388</v>
      </c>
      <c r="N331" s="20">
        <f t="shared" si="69"/>
        <v>-173653</v>
      </c>
      <c r="O331" s="20">
        <f t="shared" si="70"/>
        <v>2515106</v>
      </c>
      <c r="P331" s="23">
        <v>11311</v>
      </c>
      <c r="Q331" s="20">
        <f t="shared" si="65"/>
        <v>152087</v>
      </c>
      <c r="R331" s="23">
        <v>2678504</v>
      </c>
      <c r="S331" s="25">
        <f t="shared" si="66"/>
        <v>5.6780576023033755E-2</v>
      </c>
      <c r="T331" s="60">
        <v>1303607</v>
      </c>
      <c r="U331" s="2">
        <f t="shared" si="71"/>
        <v>2002</v>
      </c>
      <c r="V331" s="2">
        <f t="shared" si="72"/>
        <v>2</v>
      </c>
      <c r="W331" s="16">
        <f t="shared" si="50"/>
        <v>1477897</v>
      </c>
      <c r="X331" s="23">
        <v>1304745</v>
      </c>
      <c r="Y331" s="23">
        <v>149507</v>
      </c>
      <c r="Z331" s="23">
        <v>2520</v>
      </c>
      <c r="AA331" s="23">
        <v>1981</v>
      </c>
      <c r="AB331" s="23">
        <v>19122</v>
      </c>
      <c r="AC331" s="23">
        <v>4</v>
      </c>
      <c r="AD331" s="23">
        <v>18</v>
      </c>
      <c r="AE331" s="20">
        <f t="shared" si="47"/>
        <v>22</v>
      </c>
      <c r="AF331" s="20">
        <f t="shared" si="68"/>
        <v>1477875</v>
      </c>
    </row>
    <row r="332" spans="1:32">
      <c r="A332" s="2">
        <f t="shared" si="67"/>
        <v>2002</v>
      </c>
      <c r="B332" s="2">
        <f t="shared" si="62"/>
        <v>3</v>
      </c>
      <c r="C332" s="16">
        <f t="shared" si="48"/>
        <v>2719131</v>
      </c>
      <c r="D332" s="38">
        <v>1253029</v>
      </c>
      <c r="E332" s="38">
        <v>804813</v>
      </c>
      <c r="F332" s="40">
        <v>292918</v>
      </c>
      <c r="G332" s="40">
        <v>81571</v>
      </c>
      <c r="H332" s="20">
        <f t="shared" si="49"/>
        <v>211347</v>
      </c>
      <c r="I332" s="38">
        <v>2394</v>
      </c>
      <c r="J332" s="38">
        <v>200767</v>
      </c>
      <c r="K332" s="38">
        <v>45119</v>
      </c>
      <c r="L332" s="38">
        <v>120091</v>
      </c>
      <c r="M332" s="23">
        <v>1720011</v>
      </c>
      <c r="N332" s="20">
        <f t="shared" si="69"/>
        <v>272623</v>
      </c>
      <c r="O332" s="20">
        <f t="shared" si="70"/>
        <v>2991754</v>
      </c>
      <c r="P332" s="23">
        <v>10793</v>
      </c>
      <c r="Q332" s="20">
        <f t="shared" si="65"/>
        <v>162641</v>
      </c>
      <c r="R332" s="23">
        <v>3165188</v>
      </c>
      <c r="S332" s="25">
        <f t="shared" si="66"/>
        <v>5.138430955759974E-2</v>
      </c>
      <c r="T332" s="60">
        <v>1499377</v>
      </c>
      <c r="U332" s="2">
        <f t="shared" si="71"/>
        <v>2002</v>
      </c>
      <c r="V332" s="2">
        <f t="shared" si="72"/>
        <v>3</v>
      </c>
      <c r="W332" s="16">
        <f t="shared" si="50"/>
        <v>1469322</v>
      </c>
      <c r="X332" s="23">
        <v>1296839</v>
      </c>
      <c r="Y332" s="23">
        <v>148898</v>
      </c>
      <c r="Z332" s="23">
        <v>2499</v>
      </c>
      <c r="AA332" s="23">
        <v>1971</v>
      </c>
      <c r="AB332" s="23">
        <v>19093</v>
      </c>
      <c r="AC332" s="23">
        <v>4</v>
      </c>
      <c r="AD332" s="23">
        <v>18</v>
      </c>
      <c r="AE332" s="20">
        <f t="shared" si="47"/>
        <v>22</v>
      </c>
      <c r="AF332" s="20">
        <f t="shared" si="68"/>
        <v>1469300</v>
      </c>
    </row>
    <row r="333" spans="1:32">
      <c r="A333" s="2">
        <f t="shared" si="67"/>
        <v>2002</v>
      </c>
      <c r="B333" s="2">
        <f t="shared" si="62"/>
        <v>4</v>
      </c>
      <c r="C333" s="16">
        <f t="shared" si="48"/>
        <v>2861273</v>
      </c>
      <c r="D333" s="38">
        <v>1247686</v>
      </c>
      <c r="E333" s="38">
        <v>859682</v>
      </c>
      <c r="F333" s="40">
        <v>310258</v>
      </c>
      <c r="G333" s="40">
        <v>85567</v>
      </c>
      <c r="H333" s="20">
        <f t="shared" si="49"/>
        <v>224691</v>
      </c>
      <c r="I333" s="38">
        <v>1721</v>
      </c>
      <c r="J333" s="38">
        <v>220040</v>
      </c>
      <c r="K333" s="38">
        <v>63827</v>
      </c>
      <c r="L333" s="38">
        <v>158059</v>
      </c>
      <c r="M333" s="23">
        <v>1996157</v>
      </c>
      <c r="N333" s="20">
        <f t="shared" si="69"/>
        <v>276146</v>
      </c>
      <c r="O333" s="20">
        <f t="shared" si="70"/>
        <v>3137419</v>
      </c>
      <c r="P333" s="23">
        <v>7249</v>
      </c>
      <c r="Q333" s="20">
        <f t="shared" si="65"/>
        <v>236054</v>
      </c>
      <c r="R333" s="23">
        <v>3380722</v>
      </c>
      <c r="S333" s="25">
        <f t="shared" si="66"/>
        <v>6.9823546567863312E-2</v>
      </c>
      <c r="T333" s="60">
        <v>1706170</v>
      </c>
      <c r="U333" s="2">
        <f t="shared" si="71"/>
        <v>2002</v>
      </c>
      <c r="V333" s="2">
        <f t="shared" si="72"/>
        <v>4</v>
      </c>
      <c r="W333" s="16">
        <f t="shared" si="50"/>
        <v>1405242</v>
      </c>
      <c r="X333" s="23">
        <v>1239728</v>
      </c>
      <c r="Y333" s="23">
        <v>142729</v>
      </c>
      <c r="Z333" s="23">
        <v>2374</v>
      </c>
      <c r="AA333" s="23">
        <v>1969</v>
      </c>
      <c r="AB333" s="23">
        <v>18422</v>
      </c>
      <c r="AC333" s="23">
        <v>4</v>
      </c>
      <c r="AD333" s="23">
        <v>16</v>
      </c>
      <c r="AE333" s="20">
        <f t="shared" si="47"/>
        <v>20</v>
      </c>
      <c r="AF333" s="20">
        <f t="shared" si="68"/>
        <v>1405222</v>
      </c>
    </row>
    <row r="334" spans="1:32">
      <c r="A334" s="2">
        <f t="shared" si="67"/>
        <v>2002</v>
      </c>
      <c r="B334" s="2">
        <f t="shared" si="62"/>
        <v>5</v>
      </c>
      <c r="C334" s="16">
        <f t="shared" si="48"/>
        <v>3654443</v>
      </c>
      <c r="D334" s="38">
        <v>1655608</v>
      </c>
      <c r="E334" s="38">
        <v>1055642</v>
      </c>
      <c r="F334" s="40">
        <v>372027</v>
      </c>
      <c r="G334" s="40">
        <v>99652</v>
      </c>
      <c r="H334" s="20">
        <f t="shared" si="49"/>
        <v>272375</v>
      </c>
      <c r="I334" s="38">
        <v>2953</v>
      </c>
      <c r="J334" s="38">
        <v>250806</v>
      </c>
      <c r="K334" s="38">
        <v>108871</v>
      </c>
      <c r="L334" s="38">
        <v>208536</v>
      </c>
      <c r="M334" s="23">
        <v>2028776</v>
      </c>
      <c r="N334" s="20">
        <f t="shared" si="69"/>
        <v>32619</v>
      </c>
      <c r="O334" s="20">
        <f t="shared" si="70"/>
        <v>3687062</v>
      </c>
      <c r="P334" s="23">
        <v>10687</v>
      </c>
      <c r="Q334" s="20">
        <f t="shared" si="65"/>
        <v>142984</v>
      </c>
      <c r="R334" s="23">
        <v>3840733</v>
      </c>
      <c r="S334" s="25">
        <f t="shared" si="66"/>
        <v>3.7228310325138458E-2</v>
      </c>
      <c r="T334" s="60">
        <v>1737830</v>
      </c>
      <c r="U334" s="2">
        <f t="shared" si="71"/>
        <v>2002</v>
      </c>
      <c r="V334" s="2">
        <f t="shared" si="72"/>
        <v>5</v>
      </c>
      <c r="W334" s="16">
        <f t="shared" si="50"/>
        <v>1535730</v>
      </c>
      <c r="X334" s="23">
        <v>1353544</v>
      </c>
      <c r="Y334" s="23">
        <v>157664</v>
      </c>
      <c r="Z334" s="23">
        <v>2676</v>
      </c>
      <c r="AA334" s="23">
        <v>1963</v>
      </c>
      <c r="AB334" s="23">
        <v>19861</v>
      </c>
      <c r="AC334" s="23">
        <v>4</v>
      </c>
      <c r="AD334" s="23">
        <v>18</v>
      </c>
      <c r="AE334" s="20">
        <f t="shared" si="47"/>
        <v>22</v>
      </c>
      <c r="AF334" s="20">
        <f t="shared" si="68"/>
        <v>1535708</v>
      </c>
    </row>
    <row r="335" spans="1:32">
      <c r="A335" s="2">
        <f t="shared" si="67"/>
        <v>2002</v>
      </c>
      <c r="B335" s="2">
        <f t="shared" si="62"/>
        <v>6</v>
      </c>
      <c r="C335" s="16">
        <f t="shared" si="48"/>
        <v>3396865</v>
      </c>
      <c r="D335" s="38">
        <v>1611396</v>
      </c>
      <c r="E335" s="38">
        <v>941408</v>
      </c>
      <c r="F335" s="40">
        <v>311167</v>
      </c>
      <c r="G335" s="40">
        <v>67021</v>
      </c>
      <c r="H335" s="20">
        <f t="shared" si="49"/>
        <v>244146</v>
      </c>
      <c r="I335" s="38">
        <v>2338</v>
      </c>
      <c r="J335" s="38">
        <v>237033</v>
      </c>
      <c r="K335" s="38">
        <v>108236</v>
      </c>
      <c r="L335" s="38">
        <v>185287</v>
      </c>
      <c r="M335" s="23">
        <v>2163354</v>
      </c>
      <c r="N335" s="20">
        <f t="shared" si="69"/>
        <v>134578</v>
      </c>
      <c r="O335" s="20">
        <f t="shared" si="70"/>
        <v>3531443</v>
      </c>
      <c r="P335" s="23">
        <v>8372</v>
      </c>
      <c r="Q335" s="20">
        <f t="shared" ref="Q335:Q341" si="73">(R335-O335-P335)</f>
        <v>226502</v>
      </c>
      <c r="R335" s="23">
        <v>3766317</v>
      </c>
      <c r="S335" s="25">
        <f t="shared" ref="S335:S345" si="74">(Q335/R335)</f>
        <v>6.0138857138153798E-2</v>
      </c>
      <c r="T335" s="60">
        <v>1893717</v>
      </c>
      <c r="U335" s="2">
        <f t="shared" si="71"/>
        <v>2002</v>
      </c>
      <c r="V335" s="2">
        <f t="shared" si="72"/>
        <v>6</v>
      </c>
      <c r="W335" s="16">
        <f t="shared" si="50"/>
        <v>1402612</v>
      </c>
      <c r="X335" s="23">
        <v>1236677</v>
      </c>
      <c r="Y335" s="23">
        <v>143133</v>
      </c>
      <c r="Z335" s="23">
        <v>2420</v>
      </c>
      <c r="AA335" s="23">
        <v>1969</v>
      </c>
      <c r="AB335" s="23">
        <v>18391</v>
      </c>
      <c r="AC335" s="23">
        <v>4</v>
      </c>
      <c r="AD335" s="23">
        <v>18</v>
      </c>
      <c r="AE335" s="20">
        <f t="shared" si="47"/>
        <v>22</v>
      </c>
      <c r="AF335" s="20">
        <f t="shared" si="68"/>
        <v>1402590</v>
      </c>
    </row>
    <row r="336" spans="1:32">
      <c r="A336" s="2">
        <f t="shared" si="67"/>
        <v>2002</v>
      </c>
      <c r="B336" s="2">
        <f t="shared" si="62"/>
        <v>7</v>
      </c>
      <c r="C336" s="16">
        <f t="shared" si="48"/>
        <v>3729765</v>
      </c>
      <c r="D336" s="38">
        <v>1780508</v>
      </c>
      <c r="E336" s="38">
        <v>1078642</v>
      </c>
      <c r="F336" s="40">
        <v>344323</v>
      </c>
      <c r="G336" s="40">
        <v>80934</v>
      </c>
      <c r="H336" s="20">
        <f t="shared" si="49"/>
        <v>263389</v>
      </c>
      <c r="I336" s="38">
        <v>2489</v>
      </c>
      <c r="J336" s="38">
        <v>236700</v>
      </c>
      <c r="K336" s="38">
        <v>82430</v>
      </c>
      <c r="L336" s="38">
        <v>204673</v>
      </c>
      <c r="M336" s="23">
        <v>2304804</v>
      </c>
      <c r="N336" s="20">
        <f t="shared" ref="N336:N341" si="75">(M336-M335)</f>
        <v>141450</v>
      </c>
      <c r="O336" s="20">
        <f t="shared" ref="O336:O341" si="76">(C336+N336)</f>
        <v>3871215</v>
      </c>
      <c r="P336" s="23">
        <v>7518</v>
      </c>
      <c r="Q336" s="20">
        <f t="shared" si="73"/>
        <v>225360</v>
      </c>
      <c r="R336" s="23">
        <v>4104093</v>
      </c>
      <c r="S336" s="25">
        <f t="shared" si="74"/>
        <v>5.4911036372713773E-2</v>
      </c>
      <c r="T336" s="60">
        <v>2016203</v>
      </c>
      <c r="U336" s="2">
        <f t="shared" si="71"/>
        <v>2002</v>
      </c>
      <c r="V336" s="2">
        <f t="shared" si="72"/>
        <v>7</v>
      </c>
      <c r="W336" s="16">
        <f t="shared" si="50"/>
        <v>1514794</v>
      </c>
      <c r="X336" s="23">
        <v>1335895</v>
      </c>
      <c r="Y336" s="23">
        <v>154753</v>
      </c>
      <c r="Z336" s="23">
        <v>2575</v>
      </c>
      <c r="AA336" s="23">
        <v>1965</v>
      </c>
      <c r="AB336" s="23">
        <v>19583</v>
      </c>
      <c r="AC336" s="23">
        <v>6</v>
      </c>
      <c r="AD336" s="23">
        <v>17</v>
      </c>
      <c r="AE336" s="20">
        <f t="shared" si="47"/>
        <v>23</v>
      </c>
      <c r="AF336" s="20">
        <f t="shared" si="68"/>
        <v>1514771</v>
      </c>
    </row>
    <row r="337" spans="1:32">
      <c r="A337" s="2">
        <f t="shared" si="67"/>
        <v>2002</v>
      </c>
      <c r="B337" s="2">
        <f t="shared" si="62"/>
        <v>8</v>
      </c>
      <c r="C337" s="16">
        <f t="shared" si="48"/>
        <v>3739701</v>
      </c>
      <c r="D337" s="38">
        <v>1828668</v>
      </c>
      <c r="E337" s="38">
        <v>1060305</v>
      </c>
      <c r="F337" s="40">
        <v>312198</v>
      </c>
      <c r="G337" s="40">
        <v>84523</v>
      </c>
      <c r="H337" s="20">
        <f t="shared" si="49"/>
        <v>227675</v>
      </c>
      <c r="I337" s="38">
        <v>2305</v>
      </c>
      <c r="J337" s="38">
        <v>247257</v>
      </c>
      <c r="K337" s="38">
        <v>85592</v>
      </c>
      <c r="L337" s="38">
        <v>203376</v>
      </c>
      <c r="M337" s="23">
        <v>2437469</v>
      </c>
      <c r="N337" s="20">
        <f t="shared" si="75"/>
        <v>132665</v>
      </c>
      <c r="O337" s="20">
        <f t="shared" si="76"/>
        <v>3872366</v>
      </c>
      <c r="P337" s="23">
        <v>7490</v>
      </c>
      <c r="Q337" s="20">
        <f t="shared" si="73"/>
        <v>227067</v>
      </c>
      <c r="R337" s="23">
        <v>4106923</v>
      </c>
      <c r="S337" s="25">
        <f t="shared" si="74"/>
        <v>5.5288837896400787E-2</v>
      </c>
      <c r="T337" s="60">
        <v>2162330</v>
      </c>
      <c r="U337" s="2">
        <f t="shared" si="71"/>
        <v>2002</v>
      </c>
      <c r="V337" s="2">
        <f t="shared" si="72"/>
        <v>8</v>
      </c>
      <c r="W337" s="16">
        <f t="shared" si="50"/>
        <v>1474582</v>
      </c>
      <c r="X337" s="23">
        <v>1298532</v>
      </c>
      <c r="Y337" s="23">
        <v>152268</v>
      </c>
      <c r="Z337" s="23">
        <v>2552</v>
      </c>
      <c r="AA337" s="23">
        <v>1961</v>
      </c>
      <c r="AB337" s="23">
        <v>19248</v>
      </c>
      <c r="AC337" s="23">
        <v>4</v>
      </c>
      <c r="AD337" s="23">
        <v>17</v>
      </c>
      <c r="AE337" s="20">
        <f t="shared" si="47"/>
        <v>21</v>
      </c>
      <c r="AF337" s="20">
        <f t="shared" si="68"/>
        <v>1474561</v>
      </c>
    </row>
    <row r="338" spans="1:32">
      <c r="A338" s="2">
        <f t="shared" si="67"/>
        <v>2002</v>
      </c>
      <c r="B338" s="2">
        <f t="shared" si="62"/>
        <v>9</v>
      </c>
      <c r="C338" s="16">
        <f t="shared" si="48"/>
        <v>3847976</v>
      </c>
      <c r="D338" s="38">
        <v>1894109</v>
      </c>
      <c r="E338" s="38">
        <v>1067622</v>
      </c>
      <c r="F338" s="40">
        <v>326118</v>
      </c>
      <c r="G338" s="40">
        <v>87313</v>
      </c>
      <c r="H338" s="20">
        <f t="shared" si="49"/>
        <v>238805</v>
      </c>
      <c r="I338" s="38">
        <v>2342</v>
      </c>
      <c r="J338" s="38">
        <v>268630</v>
      </c>
      <c r="K338" s="38">
        <v>77706</v>
      </c>
      <c r="L338" s="38">
        <v>211449</v>
      </c>
      <c r="M338" s="23">
        <v>2377879</v>
      </c>
      <c r="N338" s="20">
        <f t="shared" si="75"/>
        <v>-59590</v>
      </c>
      <c r="O338" s="20">
        <f t="shared" si="76"/>
        <v>3788386</v>
      </c>
      <c r="P338" s="23">
        <v>9987</v>
      </c>
      <c r="Q338" s="20">
        <f t="shared" si="73"/>
        <v>268276</v>
      </c>
      <c r="R338" s="23">
        <v>4066649</v>
      </c>
      <c r="S338" s="25">
        <f t="shared" si="74"/>
        <v>6.5969794786813418E-2</v>
      </c>
      <c r="T338" s="60">
        <v>2067285</v>
      </c>
      <c r="U338" s="2">
        <f t="shared" si="71"/>
        <v>2002</v>
      </c>
      <c r="V338" s="2">
        <f t="shared" si="72"/>
        <v>9</v>
      </c>
      <c r="W338" s="16">
        <f t="shared" si="50"/>
        <v>1490857</v>
      </c>
      <c r="X338" s="23">
        <v>1314767</v>
      </c>
      <c r="Y338" s="23">
        <v>152284</v>
      </c>
      <c r="Z338" s="23">
        <v>2517</v>
      </c>
      <c r="AA338" s="23">
        <v>1964</v>
      </c>
      <c r="AB338" s="23">
        <v>19303</v>
      </c>
      <c r="AC338" s="23">
        <v>4</v>
      </c>
      <c r="AD338" s="23">
        <v>18</v>
      </c>
      <c r="AE338" s="20">
        <f t="shared" si="47"/>
        <v>22</v>
      </c>
      <c r="AF338" s="20">
        <f t="shared" si="68"/>
        <v>1490835</v>
      </c>
    </row>
    <row r="339" spans="1:32">
      <c r="A339" s="2">
        <f t="shared" si="67"/>
        <v>2002</v>
      </c>
      <c r="B339" s="2">
        <f t="shared" si="62"/>
        <v>10</v>
      </c>
      <c r="C339" s="16">
        <f t="shared" si="48"/>
        <v>3625032</v>
      </c>
      <c r="D339" s="38">
        <v>1717827</v>
      </c>
      <c r="E339" s="38">
        <v>1007947</v>
      </c>
      <c r="F339" s="40">
        <v>315167</v>
      </c>
      <c r="G339" s="40">
        <v>79585</v>
      </c>
      <c r="H339" s="20">
        <f t="shared" si="49"/>
        <v>235582</v>
      </c>
      <c r="I339" s="38">
        <v>2309</v>
      </c>
      <c r="J339" s="38">
        <v>261651</v>
      </c>
      <c r="K339" s="38">
        <v>102283</v>
      </c>
      <c r="L339" s="38">
        <v>217848</v>
      </c>
      <c r="M339" s="23">
        <v>2401739</v>
      </c>
      <c r="N339" s="20">
        <f t="shared" si="75"/>
        <v>23860</v>
      </c>
      <c r="O339" s="20">
        <f t="shared" si="76"/>
        <v>3648892</v>
      </c>
      <c r="P339" s="23">
        <v>10516</v>
      </c>
      <c r="Q339" s="20">
        <f t="shared" si="73"/>
        <v>195441</v>
      </c>
      <c r="R339" s="23">
        <v>3854849</v>
      </c>
      <c r="S339" s="25">
        <f t="shared" si="74"/>
        <v>5.0700040390687158E-2</v>
      </c>
      <c r="T339" s="60">
        <v>2083057</v>
      </c>
      <c r="U339" s="2">
        <f t="shared" si="71"/>
        <v>2002</v>
      </c>
      <c r="V339" s="2">
        <f t="shared" si="72"/>
        <v>10</v>
      </c>
      <c r="W339" s="16">
        <f t="shared" si="50"/>
        <v>1432933</v>
      </c>
      <c r="X339" s="23">
        <v>1263182</v>
      </c>
      <c r="Y339" s="23">
        <v>146573</v>
      </c>
      <c r="Z339" s="23">
        <v>2472</v>
      </c>
      <c r="AA339" s="23">
        <v>1956</v>
      </c>
      <c r="AB339" s="23">
        <v>18729</v>
      </c>
      <c r="AC339" s="23">
        <v>4</v>
      </c>
      <c r="AD339" s="23">
        <v>17</v>
      </c>
      <c r="AE339" s="20">
        <f t="shared" ref="AE339:AE399" si="77">SUM(AC339:AD339)</f>
        <v>21</v>
      </c>
      <c r="AF339" s="20">
        <f t="shared" si="68"/>
        <v>1432912</v>
      </c>
    </row>
    <row r="340" spans="1:32">
      <c r="A340" s="2">
        <f t="shared" si="67"/>
        <v>2002</v>
      </c>
      <c r="B340" s="2">
        <f t="shared" si="62"/>
        <v>11</v>
      </c>
      <c r="C340" s="16">
        <f t="shared" si="48"/>
        <v>3501067</v>
      </c>
      <c r="D340" s="9">
        <v>1543608</v>
      </c>
      <c r="E340" s="9">
        <v>1023357</v>
      </c>
      <c r="F340" s="40">
        <v>322551</v>
      </c>
      <c r="G340" s="40">
        <v>97892</v>
      </c>
      <c r="H340" s="20">
        <f t="shared" si="49"/>
        <v>224659</v>
      </c>
      <c r="I340" s="38">
        <v>2086</v>
      </c>
      <c r="J340" s="38">
        <v>262097</v>
      </c>
      <c r="K340" s="38">
        <v>114162</v>
      </c>
      <c r="L340" s="38">
        <v>233206</v>
      </c>
      <c r="M340" s="23">
        <v>1752514</v>
      </c>
      <c r="N340" s="20">
        <f t="shared" si="75"/>
        <v>-649225</v>
      </c>
      <c r="O340" s="20">
        <f t="shared" si="76"/>
        <v>2851842</v>
      </c>
      <c r="P340" s="23">
        <v>14801</v>
      </c>
      <c r="Q340" s="20">
        <f t="shared" si="73"/>
        <v>121031</v>
      </c>
      <c r="R340" s="23">
        <v>2987674</v>
      </c>
      <c r="S340" s="25">
        <f t="shared" si="74"/>
        <v>4.0510109202007982E-2</v>
      </c>
      <c r="T340" s="60">
        <v>1534638</v>
      </c>
      <c r="U340" s="2">
        <f t="shared" si="71"/>
        <v>2002</v>
      </c>
      <c r="V340" s="2">
        <f t="shared" si="72"/>
        <v>11</v>
      </c>
      <c r="W340" s="16">
        <f t="shared" si="50"/>
        <v>1565142</v>
      </c>
      <c r="X340" s="23">
        <v>1380145</v>
      </c>
      <c r="Y340" s="23">
        <v>160058</v>
      </c>
      <c r="Z340" s="23">
        <v>2693</v>
      </c>
      <c r="AA340" s="23">
        <v>1950</v>
      </c>
      <c r="AB340" s="23">
        <v>20273</v>
      </c>
      <c r="AC340" s="23">
        <v>4</v>
      </c>
      <c r="AD340" s="23">
        <v>19</v>
      </c>
      <c r="AE340" s="20">
        <f t="shared" si="77"/>
        <v>23</v>
      </c>
      <c r="AF340" s="20">
        <f t="shared" si="68"/>
        <v>1565119</v>
      </c>
    </row>
    <row r="341" spans="1:32" s="26" customFormat="1">
      <c r="A341" s="26">
        <f t="shared" si="67"/>
        <v>2002</v>
      </c>
      <c r="B341" s="26">
        <f t="shared" si="62"/>
        <v>12</v>
      </c>
      <c r="C341" s="27">
        <f t="shared" si="48"/>
        <v>3078820</v>
      </c>
      <c r="D341" s="32">
        <v>1414265</v>
      </c>
      <c r="E341" s="32">
        <v>869744</v>
      </c>
      <c r="F341" s="46">
        <v>338771</v>
      </c>
      <c r="G341" s="46">
        <v>90482</v>
      </c>
      <c r="H341" s="47">
        <f t="shared" si="49"/>
        <v>248289</v>
      </c>
      <c r="I341" s="45">
        <v>2661</v>
      </c>
      <c r="J341" s="45">
        <v>224157</v>
      </c>
      <c r="K341" s="45">
        <v>59496</v>
      </c>
      <c r="L341" s="45">
        <v>169726</v>
      </c>
      <c r="M341" s="33">
        <v>1693258</v>
      </c>
      <c r="N341" s="47">
        <f t="shared" si="75"/>
        <v>-59256</v>
      </c>
      <c r="O341" s="47">
        <f t="shared" si="76"/>
        <v>3019564</v>
      </c>
      <c r="P341" s="33">
        <v>7452</v>
      </c>
      <c r="Q341" s="47">
        <f t="shared" si="73"/>
        <v>268005</v>
      </c>
      <c r="R341" s="33">
        <v>3295021</v>
      </c>
      <c r="S341" s="31">
        <f t="shared" si="74"/>
        <v>8.1336355671177821E-2</v>
      </c>
      <c r="T341" s="70">
        <v>1470823</v>
      </c>
      <c r="U341" s="26">
        <f t="shared" si="71"/>
        <v>2002</v>
      </c>
      <c r="V341" s="26">
        <f t="shared" si="72"/>
        <v>12</v>
      </c>
      <c r="W341" s="27">
        <f t="shared" si="50"/>
        <v>1464421</v>
      </c>
      <c r="X341" s="33">
        <v>1290805</v>
      </c>
      <c r="Y341" s="33">
        <v>150070</v>
      </c>
      <c r="Z341" s="33">
        <v>2546</v>
      </c>
      <c r="AA341" s="33">
        <v>1944</v>
      </c>
      <c r="AB341" s="33">
        <v>19036</v>
      </c>
      <c r="AC341" s="33">
        <v>4</v>
      </c>
      <c r="AD341" s="33">
        <v>16</v>
      </c>
      <c r="AE341" s="20">
        <f t="shared" si="77"/>
        <v>20</v>
      </c>
      <c r="AF341" s="20">
        <f t="shared" si="68"/>
        <v>1464401</v>
      </c>
    </row>
    <row r="342" spans="1:32">
      <c r="A342" s="2">
        <v>2003</v>
      </c>
      <c r="B342" s="2">
        <f t="shared" si="62"/>
        <v>1</v>
      </c>
      <c r="C342" s="16">
        <f t="shared" si="48"/>
        <v>3307511</v>
      </c>
      <c r="D342" s="9">
        <v>1752347</v>
      </c>
      <c r="E342" s="9">
        <v>817889</v>
      </c>
      <c r="F342" s="40">
        <v>297101</v>
      </c>
      <c r="G342" s="40">
        <v>83782</v>
      </c>
      <c r="H342" s="20">
        <f t="shared" si="49"/>
        <v>213319</v>
      </c>
      <c r="I342" s="38">
        <v>2355</v>
      </c>
      <c r="J342" s="38">
        <v>214155</v>
      </c>
      <c r="K342" s="38">
        <v>72027</v>
      </c>
      <c r="L342" s="38">
        <v>151637</v>
      </c>
      <c r="M342" s="23">
        <v>2009443</v>
      </c>
      <c r="N342" s="20">
        <f t="shared" ref="N342:N347" si="78">(M342-M341)</f>
        <v>316185</v>
      </c>
      <c r="O342" s="20">
        <f t="shared" ref="O342:O347" si="79">(C342+N342)</f>
        <v>3623696</v>
      </c>
      <c r="P342" s="23">
        <v>9417</v>
      </c>
      <c r="Q342" s="20">
        <f t="shared" ref="Q342:Q350" si="80">(R342-O342-P342)</f>
        <v>208529</v>
      </c>
      <c r="R342" s="23">
        <v>3841642</v>
      </c>
      <c r="S342" s="25">
        <f t="shared" si="74"/>
        <v>5.4281216209110583E-2</v>
      </c>
      <c r="T342" s="60">
        <v>1716563</v>
      </c>
      <c r="U342" s="2">
        <f t="shared" si="71"/>
        <v>2003</v>
      </c>
      <c r="V342" s="2">
        <f t="shared" si="72"/>
        <v>1</v>
      </c>
      <c r="W342" s="16">
        <f t="shared" ref="W342:W403" si="81">SUM(X342:AD342)</f>
        <v>1490370</v>
      </c>
      <c r="X342" s="23">
        <v>1314997</v>
      </c>
      <c r="Y342" s="23">
        <v>151478</v>
      </c>
      <c r="Z342" s="23">
        <v>2572</v>
      </c>
      <c r="AA342" s="23">
        <v>1933</v>
      </c>
      <c r="AB342" s="23">
        <v>19370</v>
      </c>
      <c r="AC342" s="23">
        <v>4</v>
      </c>
      <c r="AD342" s="23">
        <v>16</v>
      </c>
      <c r="AE342" s="20">
        <f t="shared" si="77"/>
        <v>20</v>
      </c>
      <c r="AF342" s="20">
        <f t="shared" si="68"/>
        <v>1490350</v>
      </c>
    </row>
    <row r="343" spans="1:32">
      <c r="A343" s="2">
        <v>2003</v>
      </c>
      <c r="B343" s="2">
        <f t="shared" si="62"/>
        <v>2</v>
      </c>
      <c r="C343" s="16">
        <f t="shared" si="48"/>
        <v>3216943</v>
      </c>
      <c r="D343" s="9">
        <v>1607332</v>
      </c>
      <c r="E343" s="9">
        <v>788082</v>
      </c>
      <c r="F343" s="40">
        <v>322180</v>
      </c>
      <c r="G343" s="40">
        <v>107708</v>
      </c>
      <c r="H343" s="20">
        <f t="shared" si="49"/>
        <v>214472</v>
      </c>
      <c r="I343" s="38">
        <v>2465</v>
      </c>
      <c r="J343" s="38">
        <v>217437</v>
      </c>
      <c r="K343" s="38">
        <v>70938</v>
      </c>
      <c r="L343" s="38">
        <v>208509</v>
      </c>
      <c r="M343" s="23">
        <v>1483197</v>
      </c>
      <c r="N343" s="20">
        <f t="shared" si="78"/>
        <v>-526246</v>
      </c>
      <c r="O343" s="20">
        <f t="shared" si="79"/>
        <v>2690697</v>
      </c>
      <c r="P343" s="23">
        <v>10474</v>
      </c>
      <c r="Q343" s="20">
        <f t="shared" si="80"/>
        <v>113231</v>
      </c>
      <c r="R343" s="23">
        <v>2814402</v>
      </c>
      <c r="S343" s="25">
        <f t="shared" si="74"/>
        <v>4.0232703075111516E-2</v>
      </c>
      <c r="T343" s="60">
        <v>1257453</v>
      </c>
      <c r="U343" s="2">
        <f t="shared" si="71"/>
        <v>2003</v>
      </c>
      <c r="V343" s="2">
        <f t="shared" si="72"/>
        <v>2</v>
      </c>
      <c r="W343" s="16">
        <f t="shared" si="81"/>
        <v>1504920</v>
      </c>
      <c r="X343" s="23">
        <v>1328691</v>
      </c>
      <c r="Y343" s="23">
        <v>152200</v>
      </c>
      <c r="Z343" s="23">
        <v>2564</v>
      </c>
      <c r="AA343" s="23">
        <v>1935</v>
      </c>
      <c r="AB343" s="23">
        <v>19509</v>
      </c>
      <c r="AC343" s="23">
        <v>4</v>
      </c>
      <c r="AD343" s="23">
        <v>17</v>
      </c>
      <c r="AE343" s="20">
        <f t="shared" si="77"/>
        <v>21</v>
      </c>
      <c r="AF343" s="20">
        <f t="shared" si="68"/>
        <v>1504899</v>
      </c>
    </row>
    <row r="344" spans="1:32">
      <c r="A344" s="2">
        <v>2003</v>
      </c>
      <c r="B344" s="2">
        <f t="shared" si="62"/>
        <v>3</v>
      </c>
      <c r="C344" s="16">
        <f t="shared" si="48"/>
        <v>2790508</v>
      </c>
      <c r="D344" s="9">
        <v>1193274</v>
      </c>
      <c r="E344" s="9">
        <v>835816</v>
      </c>
      <c r="F344" s="40">
        <v>296426</v>
      </c>
      <c r="G344" s="40">
        <v>76074</v>
      </c>
      <c r="H344" s="20">
        <f t="shared" si="49"/>
        <v>220352</v>
      </c>
      <c r="I344" s="38">
        <v>2286</v>
      </c>
      <c r="J344" s="38">
        <v>217818</v>
      </c>
      <c r="K344" s="38">
        <v>85242</v>
      </c>
      <c r="L344" s="38">
        <v>159646</v>
      </c>
      <c r="M344" s="23">
        <v>1748601</v>
      </c>
      <c r="N344" s="20">
        <f t="shared" si="78"/>
        <v>265404</v>
      </c>
      <c r="O344" s="20">
        <f t="shared" si="79"/>
        <v>3055912</v>
      </c>
      <c r="P344" s="23">
        <v>6719</v>
      </c>
      <c r="Q344" s="20">
        <f t="shared" si="80"/>
        <v>176112</v>
      </c>
      <c r="R344" s="23">
        <v>3238743</v>
      </c>
      <c r="S344" s="25">
        <f t="shared" si="74"/>
        <v>5.4376651682458289E-2</v>
      </c>
      <c r="T344" s="60">
        <v>1492912</v>
      </c>
      <c r="U344" s="2">
        <f t="shared" si="71"/>
        <v>2003</v>
      </c>
      <c r="V344" s="2">
        <f t="shared" si="72"/>
        <v>3</v>
      </c>
      <c r="W344" s="16">
        <f t="shared" si="81"/>
        <v>1483084</v>
      </c>
      <c r="X344" s="23">
        <v>1309065</v>
      </c>
      <c r="Y344" s="23">
        <v>150307</v>
      </c>
      <c r="Z344" s="23">
        <v>2554</v>
      </c>
      <c r="AA344" s="23">
        <v>1941</v>
      </c>
      <c r="AB344" s="23">
        <v>19195</v>
      </c>
      <c r="AC344" s="23">
        <v>5</v>
      </c>
      <c r="AD344" s="23">
        <v>17</v>
      </c>
      <c r="AE344" s="20">
        <f t="shared" si="77"/>
        <v>22</v>
      </c>
      <c r="AF344" s="20">
        <f t="shared" si="68"/>
        <v>1483062</v>
      </c>
    </row>
    <row r="345" spans="1:32">
      <c r="A345" s="2">
        <v>2003</v>
      </c>
      <c r="B345" s="2">
        <f t="shared" si="62"/>
        <v>4</v>
      </c>
      <c r="C345" s="16">
        <f t="shared" si="48"/>
        <v>3012170</v>
      </c>
      <c r="D345" s="9">
        <v>1294165</v>
      </c>
      <c r="E345" s="9">
        <v>897197</v>
      </c>
      <c r="F345" s="40">
        <v>325234</v>
      </c>
      <c r="G345" s="40">
        <v>81792</v>
      </c>
      <c r="H345" s="20">
        <f t="shared" si="49"/>
        <v>243442</v>
      </c>
      <c r="I345" s="38">
        <v>2430</v>
      </c>
      <c r="J345" s="38">
        <v>225508</v>
      </c>
      <c r="K345" s="38">
        <v>65118</v>
      </c>
      <c r="L345" s="38">
        <v>202518</v>
      </c>
      <c r="M345" s="23">
        <v>1778761</v>
      </c>
      <c r="N345" s="20">
        <f t="shared" si="78"/>
        <v>30160</v>
      </c>
      <c r="O345" s="20">
        <f t="shared" si="79"/>
        <v>3042330</v>
      </c>
      <c r="P345" s="23">
        <v>10368</v>
      </c>
      <c r="Q345" s="20">
        <f t="shared" si="80"/>
        <v>137251</v>
      </c>
      <c r="R345" s="23">
        <v>3189949</v>
      </c>
      <c r="S345" s="25">
        <f t="shared" si="74"/>
        <v>4.3026079727293443E-2</v>
      </c>
      <c r="T345" s="60">
        <v>1533748</v>
      </c>
      <c r="U345" s="2">
        <f t="shared" si="71"/>
        <v>2003</v>
      </c>
      <c r="V345" s="2">
        <f t="shared" si="72"/>
        <v>4</v>
      </c>
      <c r="W345" s="16">
        <f t="shared" si="81"/>
        <v>1513782</v>
      </c>
      <c r="X345" s="23">
        <v>1334280</v>
      </c>
      <c r="Y345" s="23">
        <v>155195</v>
      </c>
      <c r="Z345" s="23">
        <v>2616</v>
      </c>
      <c r="AA345" s="23">
        <v>1928</v>
      </c>
      <c r="AB345" s="23">
        <v>19740</v>
      </c>
      <c r="AC345" s="23">
        <v>5</v>
      </c>
      <c r="AD345" s="23">
        <v>18</v>
      </c>
      <c r="AE345" s="20">
        <f t="shared" si="77"/>
        <v>23</v>
      </c>
      <c r="AF345" s="20">
        <f t="shared" si="68"/>
        <v>1513759</v>
      </c>
    </row>
    <row r="346" spans="1:32">
      <c r="A346" s="2">
        <v>2003</v>
      </c>
      <c r="B346" s="2">
        <f t="shared" si="62"/>
        <v>5</v>
      </c>
      <c r="C346" s="16">
        <f t="shared" si="48"/>
        <v>3354330</v>
      </c>
      <c r="D346" s="9">
        <v>1562851</v>
      </c>
      <c r="E346" s="9">
        <v>986168</v>
      </c>
      <c r="F346" s="40">
        <v>306070</v>
      </c>
      <c r="G346" s="40">
        <v>73709</v>
      </c>
      <c r="H346" s="20">
        <f t="shared" si="49"/>
        <v>232361</v>
      </c>
      <c r="I346" s="38">
        <v>2365</v>
      </c>
      <c r="J346" s="38">
        <v>246846</v>
      </c>
      <c r="K346" s="38">
        <v>66641</v>
      </c>
      <c r="L346" s="38">
        <v>183389</v>
      </c>
      <c r="M346" s="23">
        <v>2251451</v>
      </c>
      <c r="N346" s="20">
        <f t="shared" si="78"/>
        <v>472690</v>
      </c>
      <c r="O346" s="20">
        <f t="shared" si="79"/>
        <v>3827020</v>
      </c>
      <c r="P346" s="23">
        <v>7599</v>
      </c>
      <c r="Q346" s="20">
        <f t="shared" si="80"/>
        <v>181170</v>
      </c>
      <c r="R346" s="23">
        <v>4015789</v>
      </c>
      <c r="S346" s="25">
        <f t="shared" ref="S346:S352" si="82">(Q346/R346)</f>
        <v>4.5114422097376129E-2</v>
      </c>
      <c r="T346" s="60">
        <v>2000803</v>
      </c>
      <c r="U346" s="2">
        <f t="shared" si="71"/>
        <v>2003</v>
      </c>
      <c r="V346" s="2">
        <f t="shared" si="72"/>
        <v>5</v>
      </c>
      <c r="W346" s="16">
        <f t="shared" si="81"/>
        <v>1503066</v>
      </c>
      <c r="X346" s="23">
        <v>1324449</v>
      </c>
      <c r="Y346" s="23">
        <v>154413</v>
      </c>
      <c r="Z346" s="23">
        <v>2620</v>
      </c>
      <c r="AA346" s="23">
        <v>1924</v>
      </c>
      <c r="AB346" s="23">
        <v>19636</v>
      </c>
      <c r="AC346" s="23">
        <v>5</v>
      </c>
      <c r="AD346" s="23">
        <v>19</v>
      </c>
      <c r="AE346" s="20">
        <f t="shared" si="77"/>
        <v>24</v>
      </c>
      <c r="AF346" s="20">
        <f t="shared" si="68"/>
        <v>1503042</v>
      </c>
    </row>
    <row r="347" spans="1:32">
      <c r="A347" s="2">
        <v>2003</v>
      </c>
      <c r="B347" s="2">
        <f t="shared" si="62"/>
        <v>6</v>
      </c>
      <c r="C347" s="16">
        <f t="shared" si="48"/>
        <v>3803521</v>
      </c>
      <c r="D347" s="9">
        <v>1846386</v>
      </c>
      <c r="E347" s="9">
        <v>1067882</v>
      </c>
      <c r="F347" s="40">
        <v>376493</v>
      </c>
      <c r="G347" s="40">
        <v>108103</v>
      </c>
      <c r="H347" s="20">
        <f t="shared" si="49"/>
        <v>268390</v>
      </c>
      <c r="I347" s="38">
        <v>2395</v>
      </c>
      <c r="J347" s="38">
        <v>262017</v>
      </c>
      <c r="K347" s="38">
        <v>86744</v>
      </c>
      <c r="L347" s="38">
        <v>161604</v>
      </c>
      <c r="M347" s="23">
        <v>2246846</v>
      </c>
      <c r="N347" s="20">
        <f t="shared" si="78"/>
        <v>-4605</v>
      </c>
      <c r="O347" s="20">
        <f t="shared" si="79"/>
        <v>3798916</v>
      </c>
      <c r="P347" s="23">
        <v>10619</v>
      </c>
      <c r="Q347" s="20">
        <f t="shared" si="80"/>
        <v>206212</v>
      </c>
      <c r="R347" s="23">
        <v>4015747</v>
      </c>
      <c r="S347" s="25">
        <f t="shared" si="82"/>
        <v>5.1350844562667919E-2</v>
      </c>
      <c r="T347" s="60">
        <v>1907727</v>
      </c>
      <c r="U347" s="2">
        <f t="shared" si="71"/>
        <v>2003</v>
      </c>
      <c r="V347" s="2">
        <f t="shared" si="72"/>
        <v>6</v>
      </c>
      <c r="W347" s="16">
        <f t="shared" si="81"/>
        <v>1497420</v>
      </c>
      <c r="X347" s="23">
        <v>1320653</v>
      </c>
      <c r="Y347" s="23">
        <v>152799</v>
      </c>
      <c r="Z347" s="23">
        <v>2653</v>
      </c>
      <c r="AA347" s="23">
        <v>1923</v>
      </c>
      <c r="AB347" s="23">
        <v>19372</v>
      </c>
      <c r="AC347" s="23">
        <v>4</v>
      </c>
      <c r="AD347" s="23">
        <v>16</v>
      </c>
      <c r="AE347" s="20">
        <f t="shared" si="77"/>
        <v>20</v>
      </c>
      <c r="AF347" s="20">
        <f t="shared" si="68"/>
        <v>1497400</v>
      </c>
    </row>
    <row r="348" spans="1:32">
      <c r="A348" s="2">
        <v>2003</v>
      </c>
      <c r="B348" s="2">
        <f t="shared" si="62"/>
        <v>7</v>
      </c>
      <c r="C348" s="16">
        <f t="shared" si="48"/>
        <v>3903792</v>
      </c>
      <c r="D348" s="9">
        <v>1909869</v>
      </c>
      <c r="E348" s="9">
        <v>1099046</v>
      </c>
      <c r="F348" s="40">
        <v>336712</v>
      </c>
      <c r="G348" s="40">
        <v>101850</v>
      </c>
      <c r="H348" s="20">
        <f t="shared" si="49"/>
        <v>234862</v>
      </c>
      <c r="I348" s="38">
        <v>2376</v>
      </c>
      <c r="J348" s="38">
        <v>253155</v>
      </c>
      <c r="K348" s="38">
        <v>87359</v>
      </c>
      <c r="L348" s="38">
        <v>215275</v>
      </c>
      <c r="M348" s="23">
        <v>2447701</v>
      </c>
      <c r="N348" s="20">
        <f t="shared" ref="N348:N353" si="83">(M348-M347)</f>
        <v>200855</v>
      </c>
      <c r="O348" s="20">
        <f t="shared" ref="O348:O353" si="84">(C348+N348)</f>
        <v>4104647</v>
      </c>
      <c r="P348" s="23">
        <v>8255</v>
      </c>
      <c r="Q348" s="20">
        <f t="shared" si="80"/>
        <v>238048</v>
      </c>
      <c r="R348" s="23">
        <v>4350950</v>
      </c>
      <c r="S348" s="25">
        <f t="shared" si="82"/>
        <v>5.4711729622266399E-2</v>
      </c>
      <c r="T348" s="60">
        <v>2084701</v>
      </c>
      <c r="U348" s="2">
        <f t="shared" si="71"/>
        <v>2003</v>
      </c>
      <c r="V348" s="2">
        <f t="shared" si="72"/>
        <v>7</v>
      </c>
      <c r="W348" s="16">
        <f t="shared" si="81"/>
        <v>1512515</v>
      </c>
      <c r="X348" s="23">
        <v>1333076</v>
      </c>
      <c r="Y348" s="23">
        <v>154994</v>
      </c>
      <c r="Z348" s="23">
        <v>2659</v>
      </c>
      <c r="AA348" s="23">
        <v>1922</v>
      </c>
      <c r="AB348" s="23">
        <v>19844</v>
      </c>
      <c r="AC348" s="23">
        <v>4</v>
      </c>
      <c r="AD348" s="23">
        <v>16</v>
      </c>
      <c r="AE348" s="20">
        <f t="shared" si="77"/>
        <v>20</v>
      </c>
      <c r="AF348" s="20">
        <f t="shared" si="68"/>
        <v>1512495</v>
      </c>
    </row>
    <row r="349" spans="1:32">
      <c r="A349" s="2">
        <v>2003</v>
      </c>
      <c r="B349" s="2">
        <f t="shared" si="62"/>
        <v>8</v>
      </c>
      <c r="C349" s="16">
        <f t="shared" si="48"/>
        <v>3798273</v>
      </c>
      <c r="D349" s="9">
        <v>1854598</v>
      </c>
      <c r="E349" s="9">
        <v>1080971</v>
      </c>
      <c r="F349" s="40">
        <v>342691</v>
      </c>
      <c r="G349" s="40">
        <v>105447</v>
      </c>
      <c r="H349" s="20">
        <f t="shared" si="49"/>
        <v>237244</v>
      </c>
      <c r="I349" s="38">
        <v>2443</v>
      </c>
      <c r="J349" s="38">
        <v>244422</v>
      </c>
      <c r="K349" s="38">
        <v>38687</v>
      </c>
      <c r="L349" s="38">
        <v>234461</v>
      </c>
      <c r="M349" s="23">
        <v>2589556</v>
      </c>
      <c r="N349" s="20">
        <f t="shared" si="83"/>
        <v>141855</v>
      </c>
      <c r="O349" s="20">
        <f t="shared" si="84"/>
        <v>3940128</v>
      </c>
      <c r="P349" s="23">
        <v>11447</v>
      </c>
      <c r="Q349" s="20">
        <f t="shared" si="80"/>
        <v>268826</v>
      </c>
      <c r="R349" s="23">
        <v>4220401</v>
      </c>
      <c r="S349" s="25">
        <f t="shared" si="82"/>
        <v>6.3696790897357858E-2</v>
      </c>
      <c r="T349" s="60">
        <v>2161936</v>
      </c>
      <c r="U349" s="2">
        <f t="shared" si="71"/>
        <v>2003</v>
      </c>
      <c r="V349" s="2">
        <f t="shared" si="72"/>
        <v>8</v>
      </c>
      <c r="W349" s="16">
        <f t="shared" si="81"/>
        <v>1502388</v>
      </c>
      <c r="X349" s="23">
        <v>1324179</v>
      </c>
      <c r="Y349" s="23">
        <v>153917</v>
      </c>
      <c r="Z349" s="23">
        <v>2668</v>
      </c>
      <c r="AA349" s="23">
        <v>1914</v>
      </c>
      <c r="AB349" s="23">
        <v>19690</v>
      </c>
      <c r="AC349" s="23">
        <v>3</v>
      </c>
      <c r="AD349" s="23">
        <v>17</v>
      </c>
      <c r="AE349" s="20">
        <f t="shared" si="77"/>
        <v>20</v>
      </c>
      <c r="AF349" s="20">
        <f t="shared" si="68"/>
        <v>1502368</v>
      </c>
    </row>
    <row r="350" spans="1:32">
      <c r="A350" s="2">
        <v>2003</v>
      </c>
      <c r="B350" s="2">
        <f t="shared" ref="B350:B415" si="85">B338</f>
        <v>9</v>
      </c>
      <c r="C350" s="16">
        <f t="shared" si="48"/>
        <v>4164229</v>
      </c>
      <c r="D350" s="9">
        <v>1974784</v>
      </c>
      <c r="E350" s="9">
        <v>1154159</v>
      </c>
      <c r="F350" s="40">
        <v>348232</v>
      </c>
      <c r="G350" s="52">
        <v>103657</v>
      </c>
      <c r="H350" s="20">
        <f t="shared" si="49"/>
        <v>244575</v>
      </c>
      <c r="I350" s="38">
        <v>2421</v>
      </c>
      <c r="J350" s="38">
        <v>300672</v>
      </c>
      <c r="K350" s="38">
        <v>151616</v>
      </c>
      <c r="L350" s="38">
        <v>232345</v>
      </c>
      <c r="M350" s="23">
        <v>2134193</v>
      </c>
      <c r="N350" s="20">
        <f t="shared" si="83"/>
        <v>-455363</v>
      </c>
      <c r="O350" s="20">
        <f t="shared" si="84"/>
        <v>3708866</v>
      </c>
      <c r="P350" s="23">
        <v>8450</v>
      </c>
      <c r="Q350" s="20">
        <f t="shared" si="80"/>
        <v>270629</v>
      </c>
      <c r="R350" s="23">
        <v>3987945</v>
      </c>
      <c r="S350" s="25">
        <f t="shared" si="82"/>
        <v>6.7861768404529149E-2</v>
      </c>
      <c r="T350" s="60">
        <v>1784301</v>
      </c>
      <c r="U350" s="2">
        <f t="shared" si="71"/>
        <v>2003</v>
      </c>
      <c r="V350" s="2">
        <f t="shared" si="72"/>
        <v>9</v>
      </c>
      <c r="W350" s="16">
        <f t="shared" si="81"/>
        <v>1535479</v>
      </c>
      <c r="X350" s="23">
        <v>1353638</v>
      </c>
      <c r="Y350" s="23">
        <v>157167</v>
      </c>
      <c r="Z350" s="23">
        <v>2687</v>
      </c>
      <c r="AA350" s="23">
        <v>1905</v>
      </c>
      <c r="AB350" s="23">
        <v>20059</v>
      </c>
      <c r="AC350" s="23">
        <v>6</v>
      </c>
      <c r="AD350" s="23">
        <v>17</v>
      </c>
      <c r="AE350" s="20">
        <f t="shared" si="77"/>
        <v>23</v>
      </c>
      <c r="AF350" s="20">
        <f t="shared" si="68"/>
        <v>1535456</v>
      </c>
    </row>
    <row r="351" spans="1:32">
      <c r="A351" s="2">
        <v>2003</v>
      </c>
      <c r="B351" s="2">
        <f t="shared" si="85"/>
        <v>10</v>
      </c>
      <c r="C351" s="16">
        <f t="shared" si="48"/>
        <v>3573414</v>
      </c>
      <c r="D351" s="9">
        <v>1612643</v>
      </c>
      <c r="E351" s="9">
        <v>986855</v>
      </c>
      <c r="F351" s="40">
        <v>378404</v>
      </c>
      <c r="G351" s="52">
        <v>103286</v>
      </c>
      <c r="H351" s="20">
        <f t="shared" si="49"/>
        <v>275118</v>
      </c>
      <c r="I351" s="38">
        <v>2317</v>
      </c>
      <c r="J351" s="38">
        <v>269503</v>
      </c>
      <c r="K351" s="38">
        <v>83959</v>
      </c>
      <c r="L351" s="38">
        <v>239733</v>
      </c>
      <c r="M351" s="23">
        <v>2166148</v>
      </c>
      <c r="N351" s="20">
        <f t="shared" si="83"/>
        <v>31955</v>
      </c>
      <c r="O351" s="20">
        <f t="shared" si="84"/>
        <v>3605369</v>
      </c>
      <c r="P351" s="23">
        <v>12530</v>
      </c>
      <c r="Q351" s="20">
        <f t="shared" ref="Q351:Q357" si="86">(R351-O351-P351)</f>
        <v>13561</v>
      </c>
      <c r="R351" s="23">
        <v>3631460</v>
      </c>
      <c r="S351" s="25">
        <f t="shared" si="82"/>
        <v>3.7343107180032274E-3</v>
      </c>
      <c r="T351" s="60">
        <v>1842601</v>
      </c>
      <c r="U351" s="2">
        <f t="shared" si="71"/>
        <v>2003</v>
      </c>
      <c r="V351" s="2">
        <f t="shared" si="72"/>
        <v>10</v>
      </c>
      <c r="W351" s="16">
        <f t="shared" si="81"/>
        <v>1532610</v>
      </c>
      <c r="X351" s="23">
        <v>1350881</v>
      </c>
      <c r="Y351" s="23">
        <v>157075</v>
      </c>
      <c r="Z351" s="23">
        <v>2737</v>
      </c>
      <c r="AA351" s="23">
        <v>1899</v>
      </c>
      <c r="AB351" s="23">
        <v>19997</v>
      </c>
      <c r="AC351" s="23">
        <v>5</v>
      </c>
      <c r="AD351" s="23">
        <v>16</v>
      </c>
      <c r="AE351" s="20">
        <f t="shared" si="77"/>
        <v>21</v>
      </c>
      <c r="AF351" s="20">
        <f t="shared" si="68"/>
        <v>1532589</v>
      </c>
    </row>
    <row r="352" spans="1:32">
      <c r="A352" s="2">
        <v>2003</v>
      </c>
      <c r="B352" s="2">
        <f t="shared" si="85"/>
        <v>11</v>
      </c>
      <c r="C352" s="16">
        <f t="shared" si="48"/>
        <v>3306696</v>
      </c>
      <c r="D352" s="9">
        <v>1401461</v>
      </c>
      <c r="E352" s="9">
        <v>957964</v>
      </c>
      <c r="F352" s="40">
        <v>376394</v>
      </c>
      <c r="G352" s="52">
        <v>120278</v>
      </c>
      <c r="H352" s="20">
        <f t="shared" si="49"/>
        <v>256116</v>
      </c>
      <c r="I352" s="38">
        <v>2267</v>
      </c>
      <c r="J352" s="38">
        <v>256936</v>
      </c>
      <c r="K352" s="38">
        <v>84179</v>
      </c>
      <c r="L352" s="38">
        <v>227495</v>
      </c>
      <c r="M352" s="23">
        <v>1717705</v>
      </c>
      <c r="N352" s="20">
        <f t="shared" si="83"/>
        <v>-448443</v>
      </c>
      <c r="O352" s="20">
        <f t="shared" si="84"/>
        <v>2858253</v>
      </c>
      <c r="P352" s="23">
        <v>13803</v>
      </c>
      <c r="Q352" s="20">
        <f t="shared" si="86"/>
        <v>328717</v>
      </c>
      <c r="R352" s="23">
        <v>3200773</v>
      </c>
      <c r="S352" s="25">
        <f t="shared" si="82"/>
        <v>0.10269925421140456</v>
      </c>
      <c r="T352" s="60">
        <v>1429158</v>
      </c>
      <c r="U352" s="2">
        <f t="shared" si="71"/>
        <v>2003</v>
      </c>
      <c r="V352" s="2">
        <f t="shared" si="72"/>
        <v>11</v>
      </c>
      <c r="W352" s="16">
        <f t="shared" si="81"/>
        <v>1530830</v>
      </c>
      <c r="X352" s="23">
        <v>1349774</v>
      </c>
      <c r="Y352" s="23">
        <v>156381</v>
      </c>
      <c r="Z352" s="23">
        <v>2696</v>
      </c>
      <c r="AA352" s="23">
        <v>1895</v>
      </c>
      <c r="AB352" s="23">
        <v>20056</v>
      </c>
      <c r="AC352" s="23">
        <v>7</v>
      </c>
      <c r="AD352" s="23">
        <v>21</v>
      </c>
      <c r="AE352" s="20">
        <f t="shared" si="77"/>
        <v>28</v>
      </c>
      <c r="AF352" s="20">
        <f t="shared" si="68"/>
        <v>1530802</v>
      </c>
    </row>
    <row r="353" spans="1:32" s="26" customFormat="1">
      <c r="A353" s="26">
        <v>2003</v>
      </c>
      <c r="B353" s="26">
        <f t="shared" si="85"/>
        <v>12</v>
      </c>
      <c r="C353" s="27">
        <f t="shared" si="48"/>
        <v>3084746</v>
      </c>
      <c r="D353" s="32">
        <v>1419232</v>
      </c>
      <c r="E353" s="32">
        <v>880938</v>
      </c>
      <c r="F353" s="46">
        <v>294624</v>
      </c>
      <c r="G353" s="55">
        <v>68317</v>
      </c>
      <c r="H353" s="47">
        <f t="shared" si="49"/>
        <v>226307</v>
      </c>
      <c r="I353" s="45">
        <v>2507</v>
      </c>
      <c r="J353" s="45">
        <v>237135</v>
      </c>
      <c r="K353" s="45">
        <v>73798</v>
      </c>
      <c r="L353" s="45">
        <v>176512</v>
      </c>
      <c r="M353" s="33">
        <v>1926348</v>
      </c>
      <c r="N353" s="47">
        <f t="shared" si="83"/>
        <v>208643</v>
      </c>
      <c r="O353" s="47">
        <f t="shared" si="84"/>
        <v>3293389</v>
      </c>
      <c r="P353" s="33">
        <v>10847</v>
      </c>
      <c r="Q353" s="47">
        <f t="shared" si="86"/>
        <v>99073</v>
      </c>
      <c r="R353" s="33">
        <v>3403309</v>
      </c>
      <c r="S353" s="31">
        <f t="shared" ref="S353:S358" si="87">(Q353/R353)</f>
        <v>2.9110786002681507E-2</v>
      </c>
      <c r="T353" s="70">
        <v>1618508</v>
      </c>
      <c r="U353" s="26">
        <f t="shared" si="71"/>
        <v>2003</v>
      </c>
      <c r="V353" s="26">
        <f t="shared" si="72"/>
        <v>12</v>
      </c>
      <c r="W353" s="27">
        <f t="shared" si="81"/>
        <v>1519728</v>
      </c>
      <c r="X353" s="33">
        <v>1339285</v>
      </c>
      <c r="Y353" s="33">
        <v>155601</v>
      </c>
      <c r="Z353" s="33">
        <v>2693</v>
      </c>
      <c r="AA353" s="33">
        <v>1890</v>
      </c>
      <c r="AB353" s="33">
        <v>20239</v>
      </c>
      <c r="AC353" s="33">
        <v>5</v>
      </c>
      <c r="AD353" s="33">
        <v>15</v>
      </c>
      <c r="AE353" s="20">
        <f t="shared" si="77"/>
        <v>20</v>
      </c>
      <c r="AF353" s="20">
        <f t="shared" si="68"/>
        <v>1519708</v>
      </c>
    </row>
    <row r="354" spans="1:32">
      <c r="A354" s="2">
        <v>2004</v>
      </c>
      <c r="B354" s="2">
        <f t="shared" si="85"/>
        <v>1</v>
      </c>
      <c r="C354" s="16">
        <f t="shared" si="48"/>
        <v>3323469</v>
      </c>
      <c r="D354" s="9">
        <v>1600761</v>
      </c>
      <c r="E354" s="9">
        <v>881905</v>
      </c>
      <c r="F354" s="40">
        <v>349755</v>
      </c>
      <c r="G354" s="52">
        <v>123552</v>
      </c>
      <c r="H354" s="20">
        <f t="shared" si="49"/>
        <v>226203</v>
      </c>
      <c r="I354" s="38">
        <v>2340</v>
      </c>
      <c r="J354" s="38">
        <v>222903</v>
      </c>
      <c r="K354" s="38">
        <v>65595</v>
      </c>
      <c r="L354" s="38">
        <v>200210</v>
      </c>
      <c r="M354" s="23">
        <v>1819598</v>
      </c>
      <c r="N354" s="20">
        <f t="shared" ref="N354:N359" si="88">(M354-M353)</f>
        <v>-106750</v>
      </c>
      <c r="O354" s="20">
        <f t="shared" ref="O354:O359" si="89">(C354+N354)</f>
        <v>3216719</v>
      </c>
      <c r="P354" s="23">
        <v>7721</v>
      </c>
      <c r="Q354" s="20">
        <f t="shared" si="86"/>
        <v>279405</v>
      </c>
      <c r="R354" s="23">
        <v>3503845</v>
      </c>
      <c r="S354" s="25">
        <f t="shared" si="87"/>
        <v>7.9742397280701635E-2</v>
      </c>
      <c r="T354" s="60">
        <v>1513938</v>
      </c>
      <c r="U354" s="2">
        <f t="shared" si="71"/>
        <v>2004</v>
      </c>
      <c r="V354" s="2">
        <f t="shared" si="72"/>
        <v>1</v>
      </c>
      <c r="W354" s="16">
        <f t="shared" si="81"/>
        <v>1528605</v>
      </c>
      <c r="X354" s="23">
        <v>1348442</v>
      </c>
      <c r="Y354" s="23">
        <v>155289</v>
      </c>
      <c r="Z354" s="23">
        <v>2727</v>
      </c>
      <c r="AA354" s="23">
        <v>1886</v>
      </c>
      <c r="AB354" s="23">
        <v>20240</v>
      </c>
      <c r="AC354" s="23">
        <v>5</v>
      </c>
      <c r="AD354" s="23">
        <v>16</v>
      </c>
      <c r="AE354" s="20">
        <f t="shared" si="77"/>
        <v>21</v>
      </c>
      <c r="AF354" s="20">
        <f t="shared" si="68"/>
        <v>1528584</v>
      </c>
    </row>
    <row r="355" spans="1:32">
      <c r="A355" s="2">
        <v>2004</v>
      </c>
      <c r="B355" s="2">
        <f t="shared" si="85"/>
        <v>2</v>
      </c>
      <c r="C355" s="16">
        <f t="shared" si="48"/>
        <v>2927260</v>
      </c>
      <c r="D355" s="9">
        <v>1386066</v>
      </c>
      <c r="E355" s="9">
        <v>760461</v>
      </c>
      <c r="F355" s="40">
        <v>301960</v>
      </c>
      <c r="G355" s="52">
        <v>85064</v>
      </c>
      <c r="H355" s="20">
        <f t="shared" si="49"/>
        <v>216896</v>
      </c>
      <c r="I355" s="38">
        <v>2180</v>
      </c>
      <c r="J355" s="38">
        <v>218718</v>
      </c>
      <c r="K355" s="38">
        <v>46189</v>
      </c>
      <c r="L355" s="38">
        <v>211686</v>
      </c>
      <c r="M355" s="23">
        <v>1788014</v>
      </c>
      <c r="N355" s="20">
        <f t="shared" si="88"/>
        <v>-31584</v>
      </c>
      <c r="O355" s="20">
        <f t="shared" si="89"/>
        <v>2895676</v>
      </c>
      <c r="P355" s="23">
        <v>10048</v>
      </c>
      <c r="Q355" s="20">
        <f t="shared" si="86"/>
        <v>183967</v>
      </c>
      <c r="R355" s="23">
        <v>3089691</v>
      </c>
      <c r="S355" s="25">
        <f t="shared" si="87"/>
        <v>5.9542200174710028E-2</v>
      </c>
      <c r="T355" s="60">
        <v>1446244</v>
      </c>
      <c r="U355" s="2">
        <f t="shared" si="71"/>
        <v>2004</v>
      </c>
      <c r="V355" s="2">
        <f t="shared" si="72"/>
        <v>2</v>
      </c>
      <c r="W355" s="16">
        <f t="shared" si="81"/>
        <v>1493000</v>
      </c>
      <c r="X355" s="23">
        <v>1316798</v>
      </c>
      <c r="Y355" s="23">
        <v>151880</v>
      </c>
      <c r="Z355" s="23">
        <v>2642</v>
      </c>
      <c r="AA355" s="23">
        <v>1881</v>
      </c>
      <c r="AB355" s="23">
        <v>19778</v>
      </c>
      <c r="AC355" s="23">
        <v>4</v>
      </c>
      <c r="AD355" s="23">
        <v>17</v>
      </c>
      <c r="AE355" s="20">
        <f t="shared" si="77"/>
        <v>21</v>
      </c>
      <c r="AF355" s="20">
        <f t="shared" si="68"/>
        <v>1492979</v>
      </c>
    </row>
    <row r="356" spans="1:32">
      <c r="A356" s="2">
        <v>2004</v>
      </c>
      <c r="B356" s="2">
        <f t="shared" si="85"/>
        <v>3</v>
      </c>
      <c r="C356" s="16">
        <f t="shared" si="48"/>
        <v>3057995</v>
      </c>
      <c r="D356" s="9">
        <v>1304591</v>
      </c>
      <c r="E356" s="9">
        <v>848707</v>
      </c>
      <c r="F356" s="40">
        <v>370820</v>
      </c>
      <c r="G356" s="52">
        <v>127550</v>
      </c>
      <c r="H356" s="20">
        <f t="shared" si="49"/>
        <v>243270</v>
      </c>
      <c r="I356" s="38">
        <v>2532</v>
      </c>
      <c r="J356" s="38">
        <v>222934</v>
      </c>
      <c r="K356" s="38">
        <v>118171</v>
      </c>
      <c r="L356" s="38">
        <v>190240</v>
      </c>
      <c r="M356" s="23">
        <v>1791454</v>
      </c>
      <c r="N356" s="20">
        <f t="shared" si="88"/>
        <v>3440</v>
      </c>
      <c r="O356" s="20">
        <f t="shared" si="89"/>
        <v>3061435</v>
      </c>
      <c r="P356" s="23">
        <v>10048</v>
      </c>
      <c r="Q356" s="20">
        <f t="shared" si="86"/>
        <v>99731</v>
      </c>
      <c r="R356" s="23">
        <v>3171214</v>
      </c>
      <c r="S356" s="25">
        <f t="shared" si="87"/>
        <v>3.1448839466526067E-2</v>
      </c>
      <c r="T356" s="60">
        <v>1479215</v>
      </c>
      <c r="U356" s="2">
        <f t="shared" si="71"/>
        <v>2004</v>
      </c>
      <c r="V356" s="2">
        <f t="shared" si="72"/>
        <v>3</v>
      </c>
      <c r="W356" s="16">
        <f t="shared" si="81"/>
        <v>1577121</v>
      </c>
      <c r="X356" s="23">
        <v>1391176</v>
      </c>
      <c r="Y356" s="23">
        <v>160455</v>
      </c>
      <c r="Z356" s="23">
        <v>2799</v>
      </c>
      <c r="AA356" s="23">
        <v>1872</v>
      </c>
      <c r="AB356" s="23">
        <v>20793</v>
      </c>
      <c r="AC356" s="23">
        <v>6</v>
      </c>
      <c r="AD356" s="23">
        <v>20</v>
      </c>
      <c r="AE356" s="20">
        <f t="shared" si="77"/>
        <v>26</v>
      </c>
      <c r="AF356" s="20">
        <f t="shared" si="68"/>
        <v>1577095</v>
      </c>
    </row>
    <row r="357" spans="1:32">
      <c r="A357" s="2">
        <v>2004</v>
      </c>
      <c r="B357" s="2">
        <f t="shared" si="85"/>
        <v>4</v>
      </c>
      <c r="C357" s="16">
        <f t="shared" si="48"/>
        <v>2934787</v>
      </c>
      <c r="D357" s="9">
        <v>1186689</v>
      </c>
      <c r="E357" s="9">
        <v>874499</v>
      </c>
      <c r="F357" s="40">
        <v>345799</v>
      </c>
      <c r="G357" s="52">
        <v>98759</v>
      </c>
      <c r="H357" s="20">
        <f t="shared" si="49"/>
        <v>247040</v>
      </c>
      <c r="I357" s="38">
        <v>2353</v>
      </c>
      <c r="J357" s="38">
        <v>235583</v>
      </c>
      <c r="K357" s="38">
        <v>82420</v>
      </c>
      <c r="L357" s="38">
        <v>207444</v>
      </c>
      <c r="M357" s="23">
        <v>1828270</v>
      </c>
      <c r="N357" s="20">
        <f t="shared" si="88"/>
        <v>36816</v>
      </c>
      <c r="O357" s="20">
        <f t="shared" si="89"/>
        <v>2971603</v>
      </c>
      <c r="P357" s="23">
        <v>7721</v>
      </c>
      <c r="Q357" s="20">
        <f t="shared" si="86"/>
        <v>196630</v>
      </c>
      <c r="R357" s="23">
        <v>3175954</v>
      </c>
      <c r="S357" s="25">
        <f t="shared" si="87"/>
        <v>6.1912105779869608E-2</v>
      </c>
      <c r="T357" s="60">
        <v>1524726</v>
      </c>
      <c r="U357" s="2">
        <f t="shared" si="71"/>
        <v>2004</v>
      </c>
      <c r="V357" s="2">
        <f t="shared" si="72"/>
        <v>4</v>
      </c>
      <c r="W357" s="16">
        <f t="shared" si="81"/>
        <v>1536180</v>
      </c>
      <c r="X357" s="23">
        <v>1354068</v>
      </c>
      <c r="Y357" s="23">
        <v>157163</v>
      </c>
      <c r="Z357" s="23">
        <v>2738</v>
      </c>
      <c r="AA357" s="23">
        <v>1868</v>
      </c>
      <c r="AB357" s="23">
        <v>20321</v>
      </c>
      <c r="AC357" s="23">
        <v>5</v>
      </c>
      <c r="AD357" s="23">
        <v>17</v>
      </c>
      <c r="AE357" s="20">
        <f t="shared" si="77"/>
        <v>22</v>
      </c>
      <c r="AF357" s="20">
        <f t="shared" si="68"/>
        <v>1536158</v>
      </c>
    </row>
    <row r="358" spans="1:32">
      <c r="A358" s="2">
        <v>2004</v>
      </c>
      <c r="B358" s="2">
        <f t="shared" si="85"/>
        <v>5</v>
      </c>
      <c r="C358" s="16">
        <f t="shared" si="48"/>
        <v>3235564</v>
      </c>
      <c r="D358" s="9">
        <v>1390027</v>
      </c>
      <c r="E358" s="9">
        <v>953467</v>
      </c>
      <c r="F358" s="40">
        <v>351164</v>
      </c>
      <c r="G358" s="52">
        <v>110670</v>
      </c>
      <c r="H358" s="20">
        <f t="shared" si="49"/>
        <v>240494</v>
      </c>
      <c r="I358" s="38">
        <v>2216</v>
      </c>
      <c r="J358" s="38">
        <v>249972</v>
      </c>
      <c r="K358" s="38">
        <v>84688</v>
      </c>
      <c r="L358" s="38">
        <v>204030</v>
      </c>
      <c r="M358" s="23">
        <v>2272557</v>
      </c>
      <c r="N358" s="20">
        <f t="shared" si="88"/>
        <v>444287</v>
      </c>
      <c r="O358" s="20">
        <f t="shared" si="89"/>
        <v>3679851</v>
      </c>
      <c r="P358" s="23">
        <v>7721</v>
      </c>
      <c r="Q358" s="20">
        <f t="shared" ref="Q358:Q364" si="90">(R358-O358-P358)</f>
        <v>272312</v>
      </c>
      <c r="R358" s="23">
        <v>3959884</v>
      </c>
      <c r="S358" s="25">
        <f t="shared" si="87"/>
        <v>6.8767670972179992E-2</v>
      </c>
      <c r="T358" s="60">
        <v>1915375</v>
      </c>
      <c r="U358" s="2">
        <f t="shared" si="71"/>
        <v>2004</v>
      </c>
      <c r="V358" s="2">
        <f t="shared" si="72"/>
        <v>5</v>
      </c>
      <c r="W358" s="16">
        <f t="shared" si="81"/>
        <v>1548600</v>
      </c>
      <c r="X358" s="23">
        <v>1364646</v>
      </c>
      <c r="Y358" s="23">
        <v>158735</v>
      </c>
      <c r="Z358" s="23">
        <v>2734</v>
      </c>
      <c r="AA358" s="23">
        <v>1860</v>
      </c>
      <c r="AB358" s="23">
        <v>20604</v>
      </c>
      <c r="AC358" s="23">
        <v>5</v>
      </c>
      <c r="AD358" s="23">
        <v>16</v>
      </c>
      <c r="AE358" s="20">
        <f t="shared" si="77"/>
        <v>21</v>
      </c>
      <c r="AF358" s="20">
        <f t="shared" si="68"/>
        <v>1548579</v>
      </c>
    </row>
    <row r="359" spans="1:32">
      <c r="A359" s="2">
        <v>2004</v>
      </c>
      <c r="B359" s="2">
        <f t="shared" si="85"/>
        <v>6</v>
      </c>
      <c r="C359" s="16">
        <f t="shared" si="48"/>
        <v>3961805</v>
      </c>
      <c r="D359" s="9">
        <v>1928679</v>
      </c>
      <c r="E359" s="9">
        <v>1112598</v>
      </c>
      <c r="F359" s="40">
        <v>354226</v>
      </c>
      <c r="G359" s="52">
        <v>93969</v>
      </c>
      <c r="H359" s="53">
        <f t="shared" si="49"/>
        <v>260257</v>
      </c>
      <c r="I359" s="38">
        <v>2396</v>
      </c>
      <c r="J359" s="38">
        <v>258702</v>
      </c>
      <c r="K359" s="38">
        <v>95812</v>
      </c>
      <c r="L359" s="38">
        <v>209392</v>
      </c>
      <c r="M359" s="23">
        <v>2581338</v>
      </c>
      <c r="N359" s="20">
        <f t="shared" si="88"/>
        <v>308781</v>
      </c>
      <c r="O359" s="20">
        <f t="shared" si="89"/>
        <v>4270586</v>
      </c>
      <c r="P359" s="23">
        <v>10619</v>
      </c>
      <c r="Q359" s="20">
        <f t="shared" si="90"/>
        <v>199570</v>
      </c>
      <c r="R359" s="23">
        <v>4480775</v>
      </c>
      <c r="S359" s="25">
        <f t="shared" ref="S359:S364" si="91">(Q359/R359)</f>
        <v>4.4539170121240187E-2</v>
      </c>
      <c r="T359" s="60">
        <v>2122647</v>
      </c>
      <c r="U359" s="2">
        <f t="shared" si="71"/>
        <v>2004</v>
      </c>
      <c r="V359" s="2">
        <f t="shared" si="72"/>
        <v>6</v>
      </c>
      <c r="W359" s="16">
        <f t="shared" si="81"/>
        <v>1543607</v>
      </c>
      <c r="X359" s="23">
        <v>1360416</v>
      </c>
      <c r="Y359" s="23">
        <v>158201</v>
      </c>
      <c r="Z359" s="23">
        <v>2737</v>
      </c>
      <c r="AA359" s="23">
        <v>1856</v>
      </c>
      <c r="AB359" s="23">
        <v>20375</v>
      </c>
      <c r="AC359" s="23">
        <v>5</v>
      </c>
      <c r="AD359" s="23">
        <v>17</v>
      </c>
      <c r="AE359" s="20">
        <f t="shared" si="77"/>
        <v>22</v>
      </c>
      <c r="AF359" s="20">
        <f t="shared" si="68"/>
        <v>1543585</v>
      </c>
    </row>
    <row r="360" spans="1:32">
      <c r="A360" s="2">
        <v>2004</v>
      </c>
      <c r="B360" s="2">
        <f t="shared" si="85"/>
        <v>7</v>
      </c>
      <c r="C360" s="16">
        <f t="shared" si="48"/>
        <v>4271304</v>
      </c>
      <c r="D360" s="9">
        <v>2086220</v>
      </c>
      <c r="E360" s="9">
        <v>1139256</v>
      </c>
      <c r="F360" s="54">
        <f>454773-119069</f>
        <v>335704</v>
      </c>
      <c r="G360" s="52">
        <v>101572</v>
      </c>
      <c r="H360" s="53">
        <f t="shared" si="49"/>
        <v>234132</v>
      </c>
      <c r="I360" s="38">
        <v>2351</v>
      </c>
      <c r="J360" s="38">
        <v>266471</v>
      </c>
      <c r="K360" s="38">
        <v>102835</v>
      </c>
      <c r="L360" s="38">
        <v>338467</v>
      </c>
      <c r="M360" s="23">
        <v>2670779</v>
      </c>
      <c r="N360" s="20">
        <f t="shared" ref="N360:N365" si="92">(M360-M359)</f>
        <v>89441</v>
      </c>
      <c r="O360" s="20">
        <f t="shared" ref="O360:O365" si="93">(C360+N360)</f>
        <v>4360745</v>
      </c>
      <c r="P360" s="23">
        <v>4777</v>
      </c>
      <c r="Q360" s="20">
        <f t="shared" si="90"/>
        <v>255168</v>
      </c>
      <c r="R360" s="23">
        <v>4620690</v>
      </c>
      <c r="S360" s="25">
        <f t="shared" si="91"/>
        <v>5.5222921252020801E-2</v>
      </c>
      <c r="T360" s="60">
        <v>2156249</v>
      </c>
      <c r="U360" s="2">
        <f t="shared" si="71"/>
        <v>2004</v>
      </c>
      <c r="V360" s="2">
        <f t="shared" si="72"/>
        <v>7</v>
      </c>
      <c r="W360" s="16">
        <f t="shared" si="81"/>
        <v>1534547</v>
      </c>
      <c r="X360" s="23">
        <v>1352339</v>
      </c>
      <c r="Y360" s="23">
        <v>157222</v>
      </c>
      <c r="Z360" s="23">
        <v>2730</v>
      </c>
      <c r="AA360" s="23">
        <v>1853</v>
      </c>
      <c r="AB360" s="23">
        <v>20370</v>
      </c>
      <c r="AC360" s="23">
        <v>7</v>
      </c>
      <c r="AD360" s="23">
        <v>26</v>
      </c>
      <c r="AE360" s="20">
        <f t="shared" si="77"/>
        <v>33</v>
      </c>
      <c r="AF360" s="20">
        <f t="shared" si="68"/>
        <v>1534514</v>
      </c>
    </row>
    <row r="361" spans="1:32">
      <c r="A361" s="2">
        <v>2004</v>
      </c>
      <c r="B361" s="2">
        <f t="shared" si="85"/>
        <v>8</v>
      </c>
      <c r="C361" s="16">
        <f t="shared" si="48"/>
        <v>4170265</v>
      </c>
      <c r="D361" s="9">
        <v>1976090</v>
      </c>
      <c r="E361" s="9">
        <v>1109776</v>
      </c>
      <c r="F361" s="54">
        <f>227694+119069</f>
        <v>346763</v>
      </c>
      <c r="G361" s="52">
        <v>95284</v>
      </c>
      <c r="H361" s="53">
        <f t="shared" si="49"/>
        <v>251479</v>
      </c>
      <c r="I361" s="38">
        <v>2310</v>
      </c>
      <c r="J361" s="38">
        <v>269870</v>
      </c>
      <c r="K361" s="38">
        <v>123315</v>
      </c>
      <c r="L361" s="38">
        <v>342141</v>
      </c>
      <c r="M361" s="23">
        <v>2699001</v>
      </c>
      <c r="N361" s="20">
        <f t="shared" si="92"/>
        <v>28222</v>
      </c>
      <c r="O361" s="20">
        <f t="shared" si="93"/>
        <v>4198487</v>
      </c>
      <c r="P361" s="23">
        <v>13277</v>
      </c>
      <c r="Q361" s="20">
        <f t="shared" si="90"/>
        <v>220145</v>
      </c>
      <c r="R361" s="23">
        <v>4431909</v>
      </c>
      <c r="S361" s="25">
        <f t="shared" si="91"/>
        <v>4.9672725680965021E-2</v>
      </c>
      <c r="T361" s="60">
        <v>2194148</v>
      </c>
      <c r="U361" s="2">
        <f t="shared" si="71"/>
        <v>2004</v>
      </c>
      <c r="V361" s="2">
        <f t="shared" si="72"/>
        <v>8</v>
      </c>
      <c r="W361" s="16">
        <f t="shared" si="81"/>
        <v>1545848</v>
      </c>
      <c r="X361" s="23">
        <v>1362072</v>
      </c>
      <c r="Y361" s="23">
        <v>158721</v>
      </c>
      <c r="Z361" s="23">
        <v>2735</v>
      </c>
      <c r="AA361" s="23">
        <v>1842</v>
      </c>
      <c r="AB361" s="23">
        <v>20452</v>
      </c>
      <c r="AC361" s="23">
        <v>8</v>
      </c>
      <c r="AD361" s="23">
        <v>18</v>
      </c>
      <c r="AE361" s="20">
        <f t="shared" si="77"/>
        <v>26</v>
      </c>
      <c r="AF361" s="20">
        <f t="shared" si="68"/>
        <v>1545822</v>
      </c>
    </row>
    <row r="362" spans="1:32">
      <c r="A362" s="2">
        <v>2004</v>
      </c>
      <c r="B362" s="2">
        <f t="shared" si="85"/>
        <v>9</v>
      </c>
      <c r="C362" s="16">
        <f t="shared" si="48"/>
        <v>4071452</v>
      </c>
      <c r="D362" s="9">
        <v>1918346</v>
      </c>
      <c r="E362" s="9">
        <v>1084918</v>
      </c>
      <c r="F362" s="40">
        <v>331647</v>
      </c>
      <c r="G362" s="52">
        <v>98205</v>
      </c>
      <c r="H362" s="53">
        <f t="shared" si="49"/>
        <v>233442</v>
      </c>
      <c r="I362" s="38">
        <v>2313</v>
      </c>
      <c r="J362" s="38">
        <v>274454</v>
      </c>
      <c r="K362" s="38">
        <v>120959</v>
      </c>
      <c r="L362" s="38">
        <v>338815</v>
      </c>
      <c r="M362" s="23">
        <v>2435830</v>
      </c>
      <c r="N362" s="20">
        <f t="shared" si="92"/>
        <v>-263171</v>
      </c>
      <c r="O362" s="20">
        <f t="shared" si="93"/>
        <v>3808281</v>
      </c>
      <c r="P362" s="23">
        <v>16624</v>
      </c>
      <c r="Q362" s="20">
        <f t="shared" si="90"/>
        <v>239251</v>
      </c>
      <c r="R362" s="23">
        <v>4064156</v>
      </c>
      <c r="S362" s="25">
        <f t="shared" si="91"/>
        <v>5.8868557210894464E-2</v>
      </c>
      <c r="T362" s="60">
        <v>1955643</v>
      </c>
      <c r="U362" s="2">
        <f t="shared" si="71"/>
        <v>2004</v>
      </c>
      <c r="V362" s="2">
        <f t="shared" si="72"/>
        <v>9</v>
      </c>
      <c r="W362" s="16">
        <f t="shared" si="81"/>
        <v>1564098</v>
      </c>
      <c r="X362" s="23">
        <v>1377987</v>
      </c>
      <c r="Y362" s="23">
        <v>160762</v>
      </c>
      <c r="Z362" s="23">
        <v>2725</v>
      </c>
      <c r="AA362" s="23">
        <v>1848</v>
      </c>
      <c r="AB362" s="23">
        <v>20749</v>
      </c>
      <c r="AC362" s="23">
        <v>8</v>
      </c>
      <c r="AD362" s="23">
        <v>19</v>
      </c>
      <c r="AE362" s="20">
        <f t="shared" si="77"/>
        <v>27</v>
      </c>
      <c r="AF362" s="20">
        <f t="shared" si="68"/>
        <v>1564071</v>
      </c>
    </row>
    <row r="363" spans="1:32">
      <c r="A363" s="2">
        <v>2004</v>
      </c>
      <c r="B363" s="2">
        <f t="shared" si="85"/>
        <v>10</v>
      </c>
      <c r="C363" s="16">
        <f t="shared" si="48"/>
        <v>3826321</v>
      </c>
      <c r="D363" s="9">
        <v>1773691</v>
      </c>
      <c r="E363" s="9">
        <v>1035843</v>
      </c>
      <c r="F363" s="40">
        <v>284939</v>
      </c>
      <c r="G363" s="52">
        <v>68535</v>
      </c>
      <c r="H363" s="53">
        <f t="shared" si="49"/>
        <v>216404</v>
      </c>
      <c r="I363" s="38">
        <v>2300</v>
      </c>
      <c r="J363" s="38">
        <v>277513</v>
      </c>
      <c r="K363" s="38">
        <v>109509</v>
      </c>
      <c r="L363" s="38">
        <v>342526</v>
      </c>
      <c r="M363" s="23">
        <v>2362382</v>
      </c>
      <c r="N363" s="20">
        <f t="shared" si="92"/>
        <v>-73448</v>
      </c>
      <c r="O363" s="20">
        <f t="shared" si="93"/>
        <v>3752873</v>
      </c>
      <c r="P363" s="23">
        <v>8129</v>
      </c>
      <c r="Q363" s="20">
        <f t="shared" si="90"/>
        <v>138838</v>
      </c>
      <c r="R363" s="23">
        <v>3899840</v>
      </c>
      <c r="S363" s="25">
        <f t="shared" si="91"/>
        <v>3.5600947731188971E-2</v>
      </c>
      <c r="T363" s="60">
        <v>1924865</v>
      </c>
      <c r="U363" s="2">
        <f t="shared" si="71"/>
        <v>2004</v>
      </c>
      <c r="V363" s="2">
        <f t="shared" si="72"/>
        <v>10</v>
      </c>
      <c r="W363" s="16">
        <f t="shared" si="81"/>
        <v>1558485</v>
      </c>
      <c r="X363" s="23">
        <v>1371216</v>
      </c>
      <c r="Y363" s="23">
        <v>161735</v>
      </c>
      <c r="Z363" s="23">
        <v>2719</v>
      </c>
      <c r="AA363" s="23">
        <v>1840</v>
      </c>
      <c r="AB363" s="23">
        <v>20948</v>
      </c>
      <c r="AC363" s="23">
        <v>7</v>
      </c>
      <c r="AD363" s="23">
        <v>20</v>
      </c>
      <c r="AE363" s="20">
        <f t="shared" si="77"/>
        <v>27</v>
      </c>
      <c r="AF363" s="20">
        <f t="shared" si="68"/>
        <v>1558458</v>
      </c>
    </row>
    <row r="364" spans="1:32">
      <c r="A364" s="2">
        <v>2004</v>
      </c>
      <c r="B364" s="2">
        <f t="shared" si="85"/>
        <v>11</v>
      </c>
      <c r="C364" s="16">
        <f t="shared" si="48"/>
        <v>3406028</v>
      </c>
      <c r="D364" s="9">
        <v>1423770</v>
      </c>
      <c r="E364" s="9">
        <v>991682</v>
      </c>
      <c r="F364" s="40">
        <v>345734</v>
      </c>
      <c r="G364" s="52">
        <v>119486</v>
      </c>
      <c r="H364" s="53">
        <f t="shared" si="49"/>
        <v>226248</v>
      </c>
      <c r="I364" s="38">
        <v>2179</v>
      </c>
      <c r="J364" s="38">
        <v>267561</v>
      </c>
      <c r="K364" s="38">
        <v>33059</v>
      </c>
      <c r="L364" s="38">
        <v>342043</v>
      </c>
      <c r="M364" s="23">
        <v>2060837</v>
      </c>
      <c r="N364" s="20">
        <f t="shared" si="92"/>
        <v>-301545</v>
      </c>
      <c r="O364" s="20">
        <f t="shared" si="93"/>
        <v>3104483</v>
      </c>
      <c r="P364" s="23">
        <v>11957</v>
      </c>
      <c r="Q364" s="20">
        <f t="shared" si="90"/>
        <v>121007</v>
      </c>
      <c r="R364" s="23">
        <v>3237447</v>
      </c>
      <c r="S364" s="25">
        <f t="shared" si="91"/>
        <v>3.7377291427473563E-2</v>
      </c>
      <c r="T364" s="60">
        <v>1649259</v>
      </c>
      <c r="U364" s="2">
        <f t="shared" si="71"/>
        <v>2004</v>
      </c>
      <c r="V364" s="2">
        <f t="shared" si="72"/>
        <v>11</v>
      </c>
      <c r="W364" s="16">
        <f t="shared" si="81"/>
        <v>1576123</v>
      </c>
      <c r="X364" s="23">
        <v>1386736</v>
      </c>
      <c r="Y364" s="23">
        <v>163690</v>
      </c>
      <c r="Z364" s="23">
        <v>2742</v>
      </c>
      <c r="AA364" s="23">
        <v>1835</v>
      </c>
      <c r="AB364" s="23">
        <v>21096</v>
      </c>
      <c r="AC364" s="23">
        <v>5</v>
      </c>
      <c r="AD364" s="23">
        <v>19</v>
      </c>
      <c r="AE364" s="20">
        <f t="shared" si="77"/>
        <v>24</v>
      </c>
      <c r="AF364" s="20">
        <f t="shared" si="68"/>
        <v>1576099</v>
      </c>
    </row>
    <row r="365" spans="1:32" s="26" customFormat="1">
      <c r="A365" s="26">
        <v>2004</v>
      </c>
      <c r="B365" s="26">
        <f t="shared" si="85"/>
        <v>12</v>
      </c>
      <c r="C365" s="27">
        <f t="shared" si="48"/>
        <v>3307944</v>
      </c>
      <c r="D365" s="32">
        <v>1372338</v>
      </c>
      <c r="E365" s="32">
        <v>940424</v>
      </c>
      <c r="F365" s="46">
        <v>350115</v>
      </c>
      <c r="G365" s="55">
        <v>109920</v>
      </c>
      <c r="H365" s="56">
        <f t="shared" si="49"/>
        <v>240195</v>
      </c>
      <c r="I365" s="45">
        <v>2457</v>
      </c>
      <c r="J365" s="45">
        <v>251065</v>
      </c>
      <c r="K365" s="45">
        <v>108429</v>
      </c>
      <c r="L365" s="45">
        <v>283116</v>
      </c>
      <c r="M365" s="33">
        <v>2284949</v>
      </c>
      <c r="N365" s="47">
        <f t="shared" si="92"/>
        <v>224112</v>
      </c>
      <c r="O365" s="47">
        <f t="shared" si="93"/>
        <v>3532056</v>
      </c>
      <c r="P365" s="33">
        <v>10185</v>
      </c>
      <c r="Q365" s="47">
        <f t="shared" ref="Q365:Q370" si="94">(R365-O365-P365)</f>
        <v>89976</v>
      </c>
      <c r="R365" s="33">
        <v>3632217</v>
      </c>
      <c r="S365" s="31">
        <f t="shared" ref="S365:S370" si="95">(Q365/R365)</f>
        <v>2.4771647729196797E-2</v>
      </c>
      <c r="T365" s="70">
        <v>1899472</v>
      </c>
      <c r="U365" s="26">
        <f t="shared" si="71"/>
        <v>2004</v>
      </c>
      <c r="V365" s="26">
        <f t="shared" si="72"/>
        <v>12</v>
      </c>
      <c r="W365" s="27">
        <f t="shared" si="81"/>
        <v>1577313</v>
      </c>
      <c r="X365" s="33">
        <v>1390228</v>
      </c>
      <c r="Y365" s="33">
        <v>161508</v>
      </c>
      <c r="Z365" s="33">
        <v>2766</v>
      </c>
      <c r="AA365" s="33">
        <v>1828</v>
      </c>
      <c r="AB365" s="33">
        <v>20956</v>
      </c>
      <c r="AC365" s="33">
        <v>6</v>
      </c>
      <c r="AD365" s="33">
        <v>21</v>
      </c>
      <c r="AE365" s="20">
        <f t="shared" si="77"/>
        <v>27</v>
      </c>
      <c r="AF365" s="20">
        <f t="shared" si="68"/>
        <v>1577286</v>
      </c>
    </row>
    <row r="366" spans="1:32">
      <c r="A366" s="2">
        <v>2005</v>
      </c>
      <c r="B366" s="2">
        <f t="shared" si="85"/>
        <v>1</v>
      </c>
      <c r="C366" s="16">
        <f t="shared" si="48"/>
        <v>3427225</v>
      </c>
      <c r="D366" s="9">
        <v>1580977</v>
      </c>
      <c r="E366" s="9">
        <v>883397</v>
      </c>
      <c r="F366" s="40">
        <v>325588</v>
      </c>
      <c r="G366" s="52">
        <v>99436</v>
      </c>
      <c r="H366" s="53">
        <f t="shared" si="49"/>
        <v>226152</v>
      </c>
      <c r="I366" s="38">
        <v>1620</v>
      </c>
      <c r="J366" s="38">
        <v>237708</v>
      </c>
      <c r="K366" s="38">
        <v>81993</v>
      </c>
      <c r="L366" s="38">
        <v>315942</v>
      </c>
      <c r="M366" s="23">
        <v>2142166</v>
      </c>
      <c r="N366" s="20">
        <f t="shared" ref="N366:N371" si="96">(M366-M365)</f>
        <v>-142783</v>
      </c>
      <c r="O366" s="20">
        <f t="shared" ref="O366:O371" si="97">(C366+N366)</f>
        <v>3284442</v>
      </c>
      <c r="P366" s="23">
        <v>16345</v>
      </c>
      <c r="Q366" s="20">
        <f t="shared" si="94"/>
        <v>281018</v>
      </c>
      <c r="R366" s="23">
        <v>3581805</v>
      </c>
      <c r="S366" s="25">
        <f t="shared" si="95"/>
        <v>7.8457090768481258E-2</v>
      </c>
      <c r="T366" s="60">
        <v>1750275</v>
      </c>
      <c r="U366" s="2">
        <f t="shared" si="71"/>
        <v>2005</v>
      </c>
      <c r="V366" s="2">
        <f t="shared" si="72"/>
        <v>1</v>
      </c>
      <c r="W366" s="16">
        <f t="shared" si="81"/>
        <v>1549041</v>
      </c>
      <c r="X366" s="23">
        <v>1366718</v>
      </c>
      <c r="Y366" s="23">
        <v>157278</v>
      </c>
      <c r="Z366" s="23">
        <v>2695</v>
      </c>
      <c r="AA366" s="23">
        <v>1824</v>
      </c>
      <c r="AB366" s="23">
        <v>20496</v>
      </c>
      <c r="AC366" s="23">
        <v>9</v>
      </c>
      <c r="AD366" s="23">
        <v>21</v>
      </c>
      <c r="AE366" s="20">
        <f t="shared" si="77"/>
        <v>30</v>
      </c>
      <c r="AF366" s="20">
        <f t="shared" si="68"/>
        <v>1549011</v>
      </c>
    </row>
    <row r="367" spans="1:32">
      <c r="A367" s="2">
        <v>2005</v>
      </c>
      <c r="B367" s="2">
        <f t="shared" si="85"/>
        <v>2</v>
      </c>
      <c r="C367" s="16">
        <f t="shared" si="48"/>
        <v>3202836</v>
      </c>
      <c r="D367" s="9">
        <v>1433654</v>
      </c>
      <c r="E367" s="9">
        <v>839112</v>
      </c>
      <c r="F367" s="40">
        <v>312424</v>
      </c>
      <c r="G367" s="52">
        <v>99289</v>
      </c>
      <c r="H367" s="53">
        <f t="shared" si="49"/>
        <v>213135</v>
      </c>
      <c r="I367" s="38">
        <v>2981</v>
      </c>
      <c r="J367" s="38">
        <v>229324</v>
      </c>
      <c r="K367" s="38">
        <v>86560</v>
      </c>
      <c r="L367" s="38">
        <v>298781</v>
      </c>
      <c r="M367" s="23">
        <v>1882509</v>
      </c>
      <c r="N367" s="20">
        <f t="shared" si="96"/>
        <v>-259657</v>
      </c>
      <c r="O367" s="20">
        <f t="shared" si="97"/>
        <v>2943179</v>
      </c>
      <c r="P367" s="23">
        <v>10034</v>
      </c>
      <c r="Q367" s="20">
        <f t="shared" si="94"/>
        <v>152629</v>
      </c>
      <c r="R367" s="23">
        <v>3105842</v>
      </c>
      <c r="S367" s="25">
        <f t="shared" si="95"/>
        <v>4.91425513596635E-2</v>
      </c>
      <c r="T367" s="60">
        <v>1441852</v>
      </c>
      <c r="U367" s="2">
        <f t="shared" si="71"/>
        <v>2005</v>
      </c>
      <c r="V367" s="2">
        <f t="shared" si="72"/>
        <v>2</v>
      </c>
      <c r="W367" s="16">
        <f t="shared" si="81"/>
        <v>1560106</v>
      </c>
      <c r="X367" s="23">
        <v>1375169</v>
      </c>
      <c r="Y367" s="23">
        <v>159643</v>
      </c>
      <c r="Z367" s="23">
        <v>2716</v>
      </c>
      <c r="AA367" s="23">
        <v>1826</v>
      </c>
      <c r="AB367" s="23">
        <v>20727</v>
      </c>
      <c r="AC367" s="23">
        <v>6</v>
      </c>
      <c r="AD367" s="23">
        <v>19</v>
      </c>
      <c r="AE367" s="20">
        <f t="shared" si="77"/>
        <v>25</v>
      </c>
      <c r="AF367" s="20">
        <f t="shared" si="68"/>
        <v>1560081</v>
      </c>
    </row>
    <row r="368" spans="1:32">
      <c r="A368" s="2">
        <v>2005</v>
      </c>
      <c r="B368" s="2">
        <f t="shared" si="85"/>
        <v>3</v>
      </c>
      <c r="C368" s="16">
        <f t="shared" si="48"/>
        <v>3140925</v>
      </c>
      <c r="D368" s="9">
        <v>1332102</v>
      </c>
      <c r="E368" s="9">
        <v>848518</v>
      </c>
      <c r="F368" s="40">
        <v>302195</v>
      </c>
      <c r="G368" s="52">
        <v>91252</v>
      </c>
      <c r="H368" s="53">
        <f t="shared" si="49"/>
        <v>210943</v>
      </c>
      <c r="I368" s="38">
        <v>2330</v>
      </c>
      <c r="J368" s="38">
        <v>235154</v>
      </c>
      <c r="K368" s="38">
        <v>140357</v>
      </c>
      <c r="L368" s="38">
        <v>280269</v>
      </c>
      <c r="M368" s="23">
        <v>2181585</v>
      </c>
      <c r="N368" s="20">
        <f t="shared" si="96"/>
        <v>299076</v>
      </c>
      <c r="O368" s="20">
        <f t="shared" si="97"/>
        <v>3440001</v>
      </c>
      <c r="P368" s="23">
        <v>11531</v>
      </c>
      <c r="Q368" s="20">
        <f t="shared" si="94"/>
        <v>139988</v>
      </c>
      <c r="R368" s="23">
        <v>3591520</v>
      </c>
      <c r="S368" s="25">
        <f t="shared" si="95"/>
        <v>3.8977368913440551E-2</v>
      </c>
      <c r="T368" s="60">
        <v>1652283</v>
      </c>
      <c r="U368" s="2">
        <f t="shared" si="71"/>
        <v>2005</v>
      </c>
      <c r="V368" s="2">
        <f t="shared" si="72"/>
        <v>3</v>
      </c>
      <c r="W368" s="16">
        <f t="shared" si="81"/>
        <v>1593001</v>
      </c>
      <c r="X368" s="23">
        <v>1405897</v>
      </c>
      <c r="Y368" s="23">
        <v>161586</v>
      </c>
      <c r="Z368" s="23">
        <v>2728</v>
      </c>
      <c r="AA368" s="23">
        <v>1818</v>
      </c>
      <c r="AB368" s="23">
        <v>20935</v>
      </c>
      <c r="AC368" s="23">
        <v>11</v>
      </c>
      <c r="AD368" s="23">
        <v>26</v>
      </c>
      <c r="AE368" s="20">
        <f t="shared" si="77"/>
        <v>37</v>
      </c>
      <c r="AF368" s="20">
        <f t="shared" si="68"/>
        <v>1592964</v>
      </c>
    </row>
    <row r="369" spans="1:32">
      <c r="A369" s="2">
        <v>2005</v>
      </c>
      <c r="B369" s="2">
        <f t="shared" si="85"/>
        <v>4</v>
      </c>
      <c r="C369" s="16">
        <f t="shared" si="48"/>
        <v>3336827</v>
      </c>
      <c r="D369" s="9">
        <v>1305122</v>
      </c>
      <c r="E369" s="9">
        <v>922019</v>
      </c>
      <c r="F369" s="40">
        <v>355234</v>
      </c>
      <c r="G369" s="52">
        <v>113447</v>
      </c>
      <c r="H369" s="53">
        <f t="shared" si="49"/>
        <v>241787</v>
      </c>
      <c r="I369" s="38">
        <v>2300</v>
      </c>
      <c r="J369" s="38">
        <v>244880</v>
      </c>
      <c r="K369" s="38">
        <v>125681</v>
      </c>
      <c r="L369" s="38">
        <v>381591</v>
      </c>
      <c r="M369" s="23">
        <v>1968414</v>
      </c>
      <c r="N369" s="20">
        <f t="shared" si="96"/>
        <v>-213171</v>
      </c>
      <c r="O369" s="20">
        <f t="shared" si="97"/>
        <v>3123656</v>
      </c>
      <c r="P369" s="23">
        <v>10115</v>
      </c>
      <c r="Q369" s="20">
        <f t="shared" si="94"/>
        <v>149317</v>
      </c>
      <c r="R369" s="23">
        <v>3283088</v>
      </c>
      <c r="S369" s="25">
        <f t="shared" si="95"/>
        <v>4.548065723489593E-2</v>
      </c>
      <c r="T369" s="60">
        <v>1553112</v>
      </c>
      <c r="U369" s="2">
        <f t="shared" si="71"/>
        <v>2005</v>
      </c>
      <c r="V369" s="2">
        <f t="shared" si="72"/>
        <v>4</v>
      </c>
      <c r="W369" s="16">
        <f t="shared" si="81"/>
        <v>1564760</v>
      </c>
      <c r="X369" s="23">
        <v>1379332</v>
      </c>
      <c r="Y369" s="23">
        <v>160092</v>
      </c>
      <c r="Z369" s="23">
        <v>2667</v>
      </c>
      <c r="AA369" s="23">
        <v>1814</v>
      </c>
      <c r="AB369" s="23">
        <v>20831</v>
      </c>
      <c r="AC369" s="23">
        <v>7</v>
      </c>
      <c r="AD369" s="23">
        <v>17</v>
      </c>
      <c r="AE369" s="20">
        <f t="shared" si="77"/>
        <v>24</v>
      </c>
      <c r="AF369" s="20">
        <f t="shared" si="68"/>
        <v>1564736</v>
      </c>
    </row>
    <row r="370" spans="1:32">
      <c r="A370" s="2">
        <v>2005</v>
      </c>
      <c r="B370" s="2">
        <f t="shared" si="85"/>
        <v>5</v>
      </c>
      <c r="C370" s="16">
        <f t="shared" si="48"/>
        <v>3221843</v>
      </c>
      <c r="D370" s="9">
        <v>1324269</v>
      </c>
      <c r="E370" s="9">
        <v>940218</v>
      </c>
      <c r="F370" s="40">
        <v>320647</v>
      </c>
      <c r="G370" s="52">
        <v>94953</v>
      </c>
      <c r="H370" s="53">
        <f t="shared" si="49"/>
        <v>225694</v>
      </c>
      <c r="I370" s="38">
        <v>2288</v>
      </c>
      <c r="J370" s="38">
        <v>246938</v>
      </c>
      <c r="K370" s="38">
        <v>113196</v>
      </c>
      <c r="L370" s="38">
        <v>274287</v>
      </c>
      <c r="M370" s="23">
        <v>2445175</v>
      </c>
      <c r="N370" s="20">
        <f t="shared" si="96"/>
        <v>476761</v>
      </c>
      <c r="O370" s="20">
        <f t="shared" si="97"/>
        <v>3698604</v>
      </c>
      <c r="P370" s="23">
        <v>9026</v>
      </c>
      <c r="Q370" s="20">
        <f t="shared" si="94"/>
        <v>215258</v>
      </c>
      <c r="R370" s="23">
        <v>3922888</v>
      </c>
      <c r="S370" s="25">
        <f t="shared" si="95"/>
        <v>5.4872328753714103E-2</v>
      </c>
      <c r="T370" s="60">
        <v>2027296</v>
      </c>
      <c r="U370" s="2">
        <f t="shared" si="71"/>
        <v>2005</v>
      </c>
      <c r="V370" s="2">
        <f t="shared" si="72"/>
        <v>5</v>
      </c>
      <c r="W370" s="16">
        <f t="shared" si="81"/>
        <v>1625359</v>
      </c>
      <c r="X370" s="23">
        <v>1433410</v>
      </c>
      <c r="Y370" s="23">
        <v>166020</v>
      </c>
      <c r="Z370" s="23">
        <v>2752</v>
      </c>
      <c r="AA370" s="23">
        <v>1808</v>
      </c>
      <c r="AB370" s="23">
        <v>21343</v>
      </c>
      <c r="AC370" s="23">
        <v>7</v>
      </c>
      <c r="AD370" s="23">
        <v>19</v>
      </c>
      <c r="AE370" s="20">
        <f t="shared" si="77"/>
        <v>26</v>
      </c>
      <c r="AF370" s="20">
        <f t="shared" si="68"/>
        <v>1625333</v>
      </c>
    </row>
    <row r="371" spans="1:32">
      <c r="A371" s="2">
        <v>2005</v>
      </c>
      <c r="B371" s="2">
        <f t="shared" si="85"/>
        <v>6</v>
      </c>
      <c r="C371" s="16">
        <f t="shared" si="48"/>
        <v>3745537</v>
      </c>
      <c r="D371" s="9">
        <v>1711516</v>
      </c>
      <c r="E371" s="9">
        <v>1025408</v>
      </c>
      <c r="F371" s="40">
        <v>364501</v>
      </c>
      <c r="G371" s="52">
        <v>113485</v>
      </c>
      <c r="H371" s="53">
        <f t="shared" si="49"/>
        <v>251016</v>
      </c>
      <c r="I371" s="38">
        <v>2267</v>
      </c>
      <c r="J371" s="38">
        <v>263667</v>
      </c>
      <c r="K371" s="38">
        <v>95240</v>
      </c>
      <c r="L371" s="38">
        <v>282938</v>
      </c>
      <c r="M371" s="23">
        <v>2609830</v>
      </c>
      <c r="N371" s="20">
        <f t="shared" si="96"/>
        <v>164655</v>
      </c>
      <c r="O371" s="20">
        <f t="shared" si="97"/>
        <v>3910192</v>
      </c>
      <c r="P371" s="23">
        <v>8739</v>
      </c>
      <c r="Q371" s="20">
        <f t="shared" ref="Q371:Q378" si="98">(R371-O371-P371)</f>
        <v>296069</v>
      </c>
      <c r="R371" s="23">
        <v>4215000</v>
      </c>
      <c r="S371" s="25">
        <f t="shared" ref="S371:S378" si="99">(Q371/R371)</f>
        <v>7.0241755634638192E-2</v>
      </c>
      <c r="T371" s="60">
        <v>2198189</v>
      </c>
      <c r="U371" s="2">
        <f t="shared" si="71"/>
        <v>2005</v>
      </c>
      <c r="V371" s="2">
        <f t="shared" si="72"/>
        <v>6</v>
      </c>
      <c r="W371" s="16">
        <f t="shared" si="81"/>
        <v>1495021</v>
      </c>
      <c r="X371" s="23">
        <v>1318564</v>
      </c>
      <c r="Y371" s="23">
        <v>152159</v>
      </c>
      <c r="Z371" s="23">
        <v>2602</v>
      </c>
      <c r="AA371" s="23">
        <v>1790</v>
      </c>
      <c r="AB371" s="23">
        <v>19882</v>
      </c>
      <c r="AC371" s="23">
        <v>7</v>
      </c>
      <c r="AD371" s="23">
        <v>17</v>
      </c>
      <c r="AE371" s="20">
        <f t="shared" si="77"/>
        <v>24</v>
      </c>
      <c r="AF371" s="20">
        <f t="shared" si="68"/>
        <v>1494997</v>
      </c>
    </row>
    <row r="372" spans="1:32">
      <c r="A372" s="2">
        <v>2005</v>
      </c>
      <c r="B372" s="2">
        <f t="shared" si="85"/>
        <v>7</v>
      </c>
      <c r="C372" s="16">
        <f t="shared" si="48"/>
        <v>4298161</v>
      </c>
      <c r="D372" s="9">
        <v>2107002</v>
      </c>
      <c r="E372" s="9">
        <v>1177669</v>
      </c>
      <c r="F372" s="40">
        <v>352778</v>
      </c>
      <c r="G372" s="52">
        <v>106152</v>
      </c>
      <c r="H372" s="53">
        <f t="shared" si="49"/>
        <v>246626</v>
      </c>
      <c r="I372" s="38">
        <v>2284</v>
      </c>
      <c r="J372" s="38">
        <v>275298</v>
      </c>
      <c r="K372" s="38">
        <v>114575</v>
      </c>
      <c r="L372" s="38">
        <v>268555</v>
      </c>
      <c r="M372" s="23">
        <v>3002038</v>
      </c>
      <c r="N372" s="20">
        <f t="shared" ref="N372:N377" si="100">(M372-M371)</f>
        <v>392208</v>
      </c>
      <c r="O372" s="20">
        <f t="shared" ref="O372:O377" si="101">(C372+N372)</f>
        <v>4690369</v>
      </c>
      <c r="P372" s="23">
        <v>11775</v>
      </c>
      <c r="Q372" s="20">
        <f t="shared" si="98"/>
        <v>244843</v>
      </c>
      <c r="R372" s="23">
        <v>4946987</v>
      </c>
      <c r="S372" s="25">
        <f t="shared" si="99"/>
        <v>4.9493358280504884E-2</v>
      </c>
      <c r="T372" s="60">
        <v>2436617</v>
      </c>
      <c r="U372" s="2">
        <f t="shared" si="71"/>
        <v>2005</v>
      </c>
      <c r="V372" s="2">
        <f t="shared" si="72"/>
        <v>7</v>
      </c>
      <c r="W372" s="16">
        <f t="shared" si="81"/>
        <v>1613490</v>
      </c>
      <c r="X372" s="23">
        <v>1424148</v>
      </c>
      <c r="Y372" s="23">
        <v>163873</v>
      </c>
      <c r="Z372" s="23">
        <v>2704</v>
      </c>
      <c r="AA372" s="23">
        <v>1789</v>
      </c>
      <c r="AB372" s="23">
        <v>20950</v>
      </c>
      <c r="AC372" s="23">
        <v>7</v>
      </c>
      <c r="AD372" s="23">
        <v>19</v>
      </c>
      <c r="AE372" s="20">
        <f t="shared" si="77"/>
        <v>26</v>
      </c>
      <c r="AF372" s="20">
        <f t="shared" si="68"/>
        <v>1613464</v>
      </c>
    </row>
    <row r="373" spans="1:32">
      <c r="A373" s="2">
        <v>2005</v>
      </c>
      <c r="B373" s="2">
        <f t="shared" si="85"/>
        <v>8</v>
      </c>
      <c r="C373" s="16">
        <f t="shared" si="48"/>
        <v>4530703</v>
      </c>
      <c r="D373" s="9">
        <v>2215492</v>
      </c>
      <c r="E373" s="9">
        <v>1154848</v>
      </c>
      <c r="F373" s="40">
        <v>386739</v>
      </c>
      <c r="G373" s="52">
        <v>103641</v>
      </c>
      <c r="H373" s="53">
        <f t="shared" si="49"/>
        <v>283098</v>
      </c>
      <c r="I373" s="38">
        <v>2269</v>
      </c>
      <c r="J373" s="38">
        <v>295362</v>
      </c>
      <c r="K373" s="38">
        <v>157072</v>
      </c>
      <c r="L373" s="38">
        <v>318921</v>
      </c>
      <c r="M373" s="23">
        <v>3164003</v>
      </c>
      <c r="N373" s="20">
        <f t="shared" si="100"/>
        <v>161965</v>
      </c>
      <c r="O373" s="20">
        <f t="shared" si="101"/>
        <v>4692668</v>
      </c>
      <c r="P373" s="23">
        <v>14039</v>
      </c>
      <c r="Q373" s="20">
        <f t="shared" si="98"/>
        <v>324498</v>
      </c>
      <c r="R373" s="23">
        <v>5031205</v>
      </c>
      <c r="S373" s="25">
        <f t="shared" si="99"/>
        <v>6.4497073762647322E-2</v>
      </c>
      <c r="T373" s="60">
        <v>2537053</v>
      </c>
      <c r="U373" s="2">
        <f t="shared" si="71"/>
        <v>2005</v>
      </c>
      <c r="V373" s="2">
        <f t="shared" si="72"/>
        <v>8</v>
      </c>
      <c r="W373" s="16">
        <f t="shared" si="81"/>
        <v>1580544</v>
      </c>
      <c r="X373" s="23">
        <v>1393912</v>
      </c>
      <c r="Y373" s="23">
        <v>161125</v>
      </c>
      <c r="Z373" s="23">
        <v>2721</v>
      </c>
      <c r="AA373" s="23">
        <v>1786</v>
      </c>
      <c r="AB373" s="23">
        <v>20974</v>
      </c>
      <c r="AC373" s="23">
        <v>7</v>
      </c>
      <c r="AD373" s="23">
        <v>19</v>
      </c>
      <c r="AE373" s="20">
        <f t="shared" si="77"/>
        <v>26</v>
      </c>
      <c r="AF373" s="20">
        <f t="shared" si="68"/>
        <v>1580518</v>
      </c>
    </row>
    <row r="374" spans="1:32">
      <c r="A374" s="2">
        <v>2005</v>
      </c>
      <c r="B374" s="2">
        <f t="shared" si="85"/>
        <v>9</v>
      </c>
      <c r="C374" s="16">
        <f t="shared" si="48"/>
        <v>4680675</v>
      </c>
      <c r="D374" s="9">
        <v>2231616</v>
      </c>
      <c r="E374" s="9">
        <v>1218776</v>
      </c>
      <c r="F374" s="40">
        <v>373128</v>
      </c>
      <c r="G374" s="52">
        <v>112238</v>
      </c>
      <c r="H374" s="53">
        <f t="shared" si="49"/>
        <v>260890</v>
      </c>
      <c r="I374" s="38">
        <v>2269</v>
      </c>
      <c r="J374" s="38">
        <v>319384</v>
      </c>
      <c r="K374" s="38">
        <v>218160</v>
      </c>
      <c r="L374" s="38">
        <v>317342</v>
      </c>
      <c r="M374" s="23">
        <v>2804515</v>
      </c>
      <c r="N374" s="20">
        <f t="shared" si="100"/>
        <v>-359488</v>
      </c>
      <c r="O374" s="20">
        <f t="shared" si="101"/>
        <v>4321187</v>
      </c>
      <c r="P374" s="23">
        <v>14579</v>
      </c>
      <c r="Q374" s="20">
        <f t="shared" si="98"/>
        <v>125563</v>
      </c>
      <c r="R374" s="23">
        <v>4461329</v>
      </c>
      <c r="S374" s="25">
        <f t="shared" si="99"/>
        <v>2.8144752382081663E-2</v>
      </c>
      <c r="T374" s="60">
        <v>2246694</v>
      </c>
      <c r="U374" s="2">
        <f t="shared" si="71"/>
        <v>2005</v>
      </c>
      <c r="V374" s="2">
        <f t="shared" si="72"/>
        <v>9</v>
      </c>
      <c r="W374" s="16">
        <f t="shared" si="81"/>
        <v>1599410</v>
      </c>
      <c r="X374" s="23">
        <v>1411234</v>
      </c>
      <c r="Y374" s="23">
        <v>162565</v>
      </c>
      <c r="Z374" s="23">
        <v>2739</v>
      </c>
      <c r="AA374" s="23">
        <v>1778</v>
      </c>
      <c r="AB374" s="23">
        <v>21070</v>
      </c>
      <c r="AC374" s="23">
        <v>7</v>
      </c>
      <c r="AD374" s="23">
        <v>17</v>
      </c>
      <c r="AE374" s="20">
        <f t="shared" si="77"/>
        <v>24</v>
      </c>
      <c r="AF374" s="20">
        <f t="shared" si="68"/>
        <v>1599386</v>
      </c>
    </row>
    <row r="375" spans="1:32">
      <c r="A375" s="2">
        <v>2005</v>
      </c>
      <c r="B375" s="2">
        <f t="shared" si="85"/>
        <v>10</v>
      </c>
      <c r="C375" s="16">
        <f t="shared" si="48"/>
        <v>4071355</v>
      </c>
      <c r="D375" s="9">
        <v>1844495</v>
      </c>
      <c r="E375" s="9">
        <v>1052140</v>
      </c>
      <c r="F375" s="40">
        <v>357470</v>
      </c>
      <c r="G375" s="52">
        <v>111173</v>
      </c>
      <c r="H375" s="53">
        <f t="shared" si="49"/>
        <v>246297</v>
      </c>
      <c r="I375" s="38">
        <v>2259</v>
      </c>
      <c r="J375" s="38">
        <v>298941</v>
      </c>
      <c r="K375" s="38">
        <v>212521</v>
      </c>
      <c r="L375" s="38">
        <v>303529</v>
      </c>
      <c r="M375" s="23">
        <v>2410344</v>
      </c>
      <c r="N375" s="20">
        <f t="shared" si="100"/>
        <v>-394171</v>
      </c>
      <c r="O375" s="20">
        <f t="shared" si="101"/>
        <v>3677184</v>
      </c>
      <c r="P375" s="23">
        <v>9318</v>
      </c>
      <c r="Q375" s="20">
        <f t="shared" si="98"/>
        <v>281123</v>
      </c>
      <c r="R375" s="23">
        <v>3967625</v>
      </c>
      <c r="S375" s="25">
        <f t="shared" si="99"/>
        <v>7.085422639488359E-2</v>
      </c>
      <c r="T375" s="60">
        <v>1946394</v>
      </c>
      <c r="U375" s="2">
        <f t="shared" si="71"/>
        <v>2005</v>
      </c>
      <c r="V375" s="2">
        <f t="shared" si="72"/>
        <v>10</v>
      </c>
      <c r="W375" s="16">
        <f t="shared" si="81"/>
        <v>1581884</v>
      </c>
      <c r="X375" s="23">
        <v>1396206</v>
      </c>
      <c r="Y375" s="23">
        <v>160355</v>
      </c>
      <c r="Z375" s="23">
        <v>2688</v>
      </c>
      <c r="AA375" s="23">
        <v>1772</v>
      </c>
      <c r="AB375" s="23">
        <v>20837</v>
      </c>
      <c r="AC375" s="23">
        <v>7</v>
      </c>
      <c r="AD375" s="23">
        <v>19</v>
      </c>
      <c r="AE375" s="20">
        <f t="shared" si="77"/>
        <v>26</v>
      </c>
      <c r="AF375" s="20">
        <f t="shared" si="68"/>
        <v>1581858</v>
      </c>
    </row>
    <row r="376" spans="1:32">
      <c r="A376" s="2">
        <v>2005</v>
      </c>
      <c r="B376" s="2">
        <f t="shared" si="85"/>
        <v>11</v>
      </c>
      <c r="C376" s="16">
        <f t="shared" si="48"/>
        <v>3501073</v>
      </c>
      <c r="D376" s="9">
        <v>1434464</v>
      </c>
      <c r="E376" s="9">
        <v>987921</v>
      </c>
      <c r="F376" s="40">
        <v>357350</v>
      </c>
      <c r="G376" s="52">
        <v>116527</v>
      </c>
      <c r="H376" s="53">
        <f t="shared" si="49"/>
        <v>240823</v>
      </c>
      <c r="I376" s="52">
        <v>2264</v>
      </c>
      <c r="J376" s="38">
        <v>269980</v>
      </c>
      <c r="K376" s="38">
        <v>169909</v>
      </c>
      <c r="L376" s="38">
        <v>279185</v>
      </c>
      <c r="M376" s="23">
        <v>1913331</v>
      </c>
      <c r="N376" s="20">
        <f t="shared" si="100"/>
        <v>-497013</v>
      </c>
      <c r="O376" s="20">
        <f t="shared" si="101"/>
        <v>3004060</v>
      </c>
      <c r="P376" s="23">
        <v>11719</v>
      </c>
      <c r="Q376" s="20">
        <f t="shared" si="98"/>
        <v>199445</v>
      </c>
      <c r="R376" s="23">
        <v>3215224</v>
      </c>
      <c r="S376" s="25">
        <f t="shared" si="99"/>
        <v>6.2031447886679122E-2</v>
      </c>
      <c r="T376" s="60">
        <v>1547744</v>
      </c>
      <c r="U376" s="2">
        <f t="shared" si="71"/>
        <v>2005</v>
      </c>
      <c r="V376" s="2">
        <f t="shared" si="72"/>
        <v>11</v>
      </c>
      <c r="W376" s="16">
        <f t="shared" si="81"/>
        <v>1639230</v>
      </c>
      <c r="X376" s="23">
        <v>1447794</v>
      </c>
      <c r="Y376" s="23">
        <v>165458</v>
      </c>
      <c r="Z376" s="23">
        <v>2763</v>
      </c>
      <c r="AA376" s="23">
        <v>1773</v>
      </c>
      <c r="AB376" s="23">
        <v>21417</v>
      </c>
      <c r="AC376" s="23">
        <v>7</v>
      </c>
      <c r="AD376" s="23">
        <v>18</v>
      </c>
      <c r="AE376" s="20">
        <f t="shared" si="77"/>
        <v>25</v>
      </c>
      <c r="AF376" s="20">
        <f t="shared" si="68"/>
        <v>1639205</v>
      </c>
    </row>
    <row r="377" spans="1:32" s="26" customFormat="1">
      <c r="A377" s="26">
        <v>2005</v>
      </c>
      <c r="B377" s="26">
        <f t="shared" si="85"/>
        <v>12</v>
      </c>
      <c r="C377" s="27">
        <f t="shared" si="48"/>
        <v>3214664</v>
      </c>
      <c r="D377" s="32">
        <v>1372825</v>
      </c>
      <c r="E377" s="32">
        <v>894691</v>
      </c>
      <c r="F377" s="46">
        <v>331817</v>
      </c>
      <c r="G377" s="55">
        <v>110755</v>
      </c>
      <c r="H377" s="56">
        <f t="shared" si="49"/>
        <v>221062</v>
      </c>
      <c r="I377" s="45">
        <v>2258</v>
      </c>
      <c r="J377" s="45">
        <v>254441</v>
      </c>
      <c r="K377" s="45">
        <v>113707</v>
      </c>
      <c r="L377" s="45">
        <v>244925</v>
      </c>
      <c r="M377" s="33">
        <v>2080422</v>
      </c>
      <c r="N377" s="47">
        <f t="shared" si="100"/>
        <v>167091</v>
      </c>
      <c r="O377" s="47">
        <f t="shared" si="101"/>
        <v>3381755</v>
      </c>
      <c r="P377" s="33">
        <v>14691</v>
      </c>
      <c r="Q377" s="47">
        <f t="shared" si="98"/>
        <v>159309</v>
      </c>
      <c r="R377" s="33">
        <v>3555755</v>
      </c>
      <c r="S377" s="31">
        <f t="shared" si="99"/>
        <v>4.4803143073693208E-2</v>
      </c>
      <c r="T377" s="70">
        <v>1675027</v>
      </c>
      <c r="U377" s="26">
        <f t="shared" si="71"/>
        <v>2005</v>
      </c>
      <c r="V377" s="26">
        <f t="shared" si="72"/>
        <v>12</v>
      </c>
      <c r="W377" s="27">
        <f t="shared" si="81"/>
        <v>1599158</v>
      </c>
      <c r="X377" s="33">
        <v>1411764</v>
      </c>
      <c r="Y377" s="33">
        <v>161860</v>
      </c>
      <c r="Z377" s="33">
        <v>2663</v>
      </c>
      <c r="AA377" s="33">
        <v>1759</v>
      </c>
      <c r="AB377" s="33">
        <v>21088</v>
      </c>
      <c r="AC377" s="33">
        <v>7</v>
      </c>
      <c r="AD377" s="33">
        <v>17</v>
      </c>
      <c r="AE377" s="20">
        <f t="shared" si="77"/>
        <v>24</v>
      </c>
      <c r="AF377" s="20">
        <f t="shared" si="68"/>
        <v>1599134</v>
      </c>
    </row>
    <row r="378" spans="1:32">
      <c r="A378" s="2">
        <f t="shared" ref="A378:A441" si="102">A366+1</f>
        <v>2006</v>
      </c>
      <c r="B378" s="2">
        <f t="shared" si="85"/>
        <v>1</v>
      </c>
      <c r="C378" s="16">
        <f t="shared" si="48"/>
        <v>3418333</v>
      </c>
      <c r="D378" s="9">
        <v>1573330</v>
      </c>
      <c r="E378" s="9">
        <v>863605</v>
      </c>
      <c r="F378" s="40">
        <v>344867</v>
      </c>
      <c r="G378" s="52">
        <v>117579</v>
      </c>
      <c r="H378" s="53">
        <f t="shared" si="49"/>
        <v>227288</v>
      </c>
      <c r="I378" s="38">
        <v>2292</v>
      </c>
      <c r="J378" s="38">
        <v>236114</v>
      </c>
      <c r="K378" s="38">
        <v>138964</v>
      </c>
      <c r="L378" s="38">
        <v>259161</v>
      </c>
      <c r="M378" s="23">
        <v>1905013</v>
      </c>
      <c r="N378" s="20">
        <f t="shared" ref="N378:N383" si="103">(M378-M377)</f>
        <v>-175409</v>
      </c>
      <c r="O378" s="20">
        <f t="shared" ref="O378:O383" si="104">(C378+N378)</f>
        <v>3242924</v>
      </c>
      <c r="P378" s="23">
        <v>16345</v>
      </c>
      <c r="Q378" s="20">
        <f t="shared" si="98"/>
        <v>131055</v>
      </c>
      <c r="R378" s="23">
        <v>3390324</v>
      </c>
      <c r="S378" s="25">
        <f t="shared" si="99"/>
        <v>3.8655597518113316E-2</v>
      </c>
      <c r="T378" s="60">
        <v>1630994</v>
      </c>
      <c r="U378" s="2">
        <f t="shared" si="71"/>
        <v>2006</v>
      </c>
      <c r="V378" s="2">
        <f t="shared" si="72"/>
        <v>1</v>
      </c>
      <c r="W378" s="16">
        <f t="shared" si="81"/>
        <v>1581856</v>
      </c>
      <c r="X378" s="23">
        <v>1396114</v>
      </c>
      <c r="Y378" s="23">
        <v>160355</v>
      </c>
      <c r="Z378" s="23">
        <v>2696</v>
      </c>
      <c r="AA378" s="23">
        <v>1766</v>
      </c>
      <c r="AB378" s="23">
        <v>20899</v>
      </c>
      <c r="AC378" s="23">
        <v>7</v>
      </c>
      <c r="AD378" s="23">
        <v>19</v>
      </c>
      <c r="AE378" s="20">
        <f t="shared" si="77"/>
        <v>26</v>
      </c>
      <c r="AF378" s="20">
        <f t="shared" si="68"/>
        <v>1581830</v>
      </c>
    </row>
    <row r="379" spans="1:32">
      <c r="A379" s="2">
        <f t="shared" si="102"/>
        <v>2006</v>
      </c>
      <c r="B379" s="2">
        <f t="shared" si="85"/>
        <v>2</v>
      </c>
      <c r="C379" s="16">
        <f t="shared" si="48"/>
        <v>3074535</v>
      </c>
      <c r="D379" s="9">
        <v>1424753</v>
      </c>
      <c r="E379" s="9">
        <v>824007</v>
      </c>
      <c r="F379" s="40">
        <v>315521</v>
      </c>
      <c r="G379" s="52">
        <v>101044</v>
      </c>
      <c r="H379" s="53">
        <f t="shared" si="49"/>
        <v>214477</v>
      </c>
      <c r="I379" s="38">
        <v>2117</v>
      </c>
      <c r="J379" s="38">
        <v>240904</v>
      </c>
      <c r="K379" s="38">
        <v>84166</v>
      </c>
      <c r="L379" s="38">
        <v>183067</v>
      </c>
      <c r="M379" s="23">
        <v>1830125</v>
      </c>
      <c r="N379" s="20">
        <f t="shared" si="103"/>
        <v>-74888</v>
      </c>
      <c r="O379" s="20">
        <f t="shared" si="104"/>
        <v>2999647</v>
      </c>
      <c r="P379" s="23">
        <v>9640</v>
      </c>
      <c r="Q379" s="20">
        <f t="shared" ref="Q379:Q385" si="105">(R379-O379-P379)</f>
        <v>181499</v>
      </c>
      <c r="R379" s="23">
        <v>3190786</v>
      </c>
      <c r="S379" s="25">
        <f t="shared" ref="S379:S385" si="106">(Q379/R379)</f>
        <v>5.6882222750131162E-2</v>
      </c>
      <c r="T379" s="60">
        <v>1553048</v>
      </c>
      <c r="U379" s="2">
        <f t="shared" si="71"/>
        <v>2006</v>
      </c>
      <c r="V379" s="2">
        <f t="shared" si="72"/>
        <v>2</v>
      </c>
      <c r="W379" s="16">
        <f t="shared" si="81"/>
        <v>1608407</v>
      </c>
      <c r="X379" s="23">
        <v>1420710</v>
      </c>
      <c r="Y379" s="23">
        <v>162108</v>
      </c>
      <c r="Z379" s="23">
        <v>2709</v>
      </c>
      <c r="AA379" s="23">
        <v>1756</v>
      </c>
      <c r="AB379" s="23">
        <v>21101</v>
      </c>
      <c r="AC379" s="23">
        <v>6</v>
      </c>
      <c r="AD379" s="23">
        <v>17</v>
      </c>
      <c r="AE379" s="20">
        <f t="shared" si="77"/>
        <v>23</v>
      </c>
      <c r="AF379" s="20">
        <f t="shared" si="68"/>
        <v>1608384</v>
      </c>
    </row>
    <row r="380" spans="1:32">
      <c r="A380" s="2">
        <f t="shared" si="102"/>
        <v>2006</v>
      </c>
      <c r="B380" s="2">
        <f t="shared" si="85"/>
        <v>3</v>
      </c>
      <c r="C380" s="16">
        <f t="shared" si="48"/>
        <v>3018513</v>
      </c>
      <c r="D380" s="9">
        <v>1313001</v>
      </c>
      <c r="E380" s="9">
        <v>862372</v>
      </c>
      <c r="F380" s="40">
        <v>345666</v>
      </c>
      <c r="G380" s="52">
        <v>110189</v>
      </c>
      <c r="H380" s="53">
        <f t="shared" si="49"/>
        <v>235477</v>
      </c>
      <c r="I380" s="38">
        <v>2245</v>
      </c>
      <c r="J380" s="38">
        <v>236840</v>
      </c>
      <c r="K380" s="38">
        <v>84390</v>
      </c>
      <c r="L380" s="38">
        <v>173999</v>
      </c>
      <c r="M380" s="23">
        <v>1930143</v>
      </c>
      <c r="N380" s="20">
        <f t="shared" si="103"/>
        <v>100018</v>
      </c>
      <c r="O380" s="20">
        <f t="shared" si="104"/>
        <v>3118531</v>
      </c>
      <c r="P380" s="23">
        <v>18697</v>
      </c>
      <c r="Q380" s="20">
        <f t="shared" si="105"/>
        <v>148287</v>
      </c>
      <c r="R380" s="23">
        <v>3285515</v>
      </c>
      <c r="S380" s="25">
        <f t="shared" si="106"/>
        <v>4.5133563535701401E-2</v>
      </c>
      <c r="T380" s="60">
        <v>1639602</v>
      </c>
      <c r="U380" s="2">
        <f t="shared" si="71"/>
        <v>2006</v>
      </c>
      <c r="V380" s="2">
        <f t="shared" si="72"/>
        <v>3</v>
      </c>
      <c r="W380" s="16">
        <f t="shared" si="81"/>
        <v>1627306</v>
      </c>
      <c r="X380" s="23">
        <v>1437389</v>
      </c>
      <c r="Y380" s="23">
        <v>164122</v>
      </c>
      <c r="Z380" s="23">
        <v>2718</v>
      </c>
      <c r="AA380" s="23">
        <v>1758</v>
      </c>
      <c r="AB380" s="23">
        <v>21291</v>
      </c>
      <c r="AC380" s="23">
        <v>8</v>
      </c>
      <c r="AD380" s="23">
        <v>20</v>
      </c>
      <c r="AE380" s="20">
        <f t="shared" si="77"/>
        <v>28</v>
      </c>
      <c r="AF380" s="20">
        <f t="shared" si="68"/>
        <v>1627278</v>
      </c>
    </row>
    <row r="381" spans="1:32">
      <c r="A381" s="2">
        <f t="shared" si="102"/>
        <v>2006</v>
      </c>
      <c r="B381" s="2">
        <f t="shared" si="85"/>
        <v>4</v>
      </c>
      <c r="C381" s="16">
        <f t="shared" si="48"/>
        <v>3064627</v>
      </c>
      <c r="D381" s="9">
        <v>1295781</v>
      </c>
      <c r="E381" s="9">
        <v>895616</v>
      </c>
      <c r="F381" s="40">
        <v>350580</v>
      </c>
      <c r="G381" s="52">
        <v>113580</v>
      </c>
      <c r="H381" s="53">
        <f t="shared" si="49"/>
        <v>237000</v>
      </c>
      <c r="I381" s="38">
        <v>2224</v>
      </c>
      <c r="J381" s="38">
        <v>250606</v>
      </c>
      <c r="K381" s="38">
        <v>85950</v>
      </c>
      <c r="L381" s="38">
        <v>183870</v>
      </c>
      <c r="M381" s="23">
        <v>2196460</v>
      </c>
      <c r="N381" s="20">
        <f t="shared" si="103"/>
        <v>266317</v>
      </c>
      <c r="O381" s="20">
        <f t="shared" si="104"/>
        <v>3330944</v>
      </c>
      <c r="P381" s="23">
        <v>13038</v>
      </c>
      <c r="Q381" s="20">
        <f t="shared" si="105"/>
        <v>237648</v>
      </c>
      <c r="R381" s="23">
        <v>3581630</v>
      </c>
      <c r="S381" s="25">
        <f t="shared" si="106"/>
        <v>6.6351912397427992E-2</v>
      </c>
      <c r="T381" s="60">
        <v>1920230</v>
      </c>
      <c r="U381" s="2">
        <f t="shared" si="71"/>
        <v>2006</v>
      </c>
      <c r="V381" s="2">
        <f t="shared" si="72"/>
        <v>4</v>
      </c>
      <c r="W381" s="16">
        <f t="shared" si="81"/>
        <v>1597545</v>
      </c>
      <c r="X381" s="23">
        <v>1411681</v>
      </c>
      <c r="Y381" s="23">
        <v>160529</v>
      </c>
      <c r="Z381" s="23">
        <v>2675</v>
      </c>
      <c r="AA381" s="23">
        <v>1755</v>
      </c>
      <c r="AB381" s="23">
        <v>20883</v>
      </c>
      <c r="AC381" s="23">
        <v>6</v>
      </c>
      <c r="AD381" s="23">
        <v>16</v>
      </c>
      <c r="AE381" s="20">
        <f t="shared" si="77"/>
        <v>22</v>
      </c>
      <c r="AF381" s="20">
        <f t="shared" si="68"/>
        <v>1597523</v>
      </c>
    </row>
    <row r="382" spans="1:32">
      <c r="A382" s="2">
        <f t="shared" si="102"/>
        <v>2006</v>
      </c>
      <c r="B382" s="2">
        <f t="shared" si="85"/>
        <v>5</v>
      </c>
      <c r="C382" s="16">
        <f t="shared" si="48"/>
        <v>3483888</v>
      </c>
      <c r="D382" s="9">
        <v>1562469</v>
      </c>
      <c r="E382" s="9">
        <v>1002663</v>
      </c>
      <c r="F382" s="40">
        <v>368382</v>
      </c>
      <c r="G382" s="52">
        <v>114510</v>
      </c>
      <c r="H382" s="53">
        <f t="shared" si="49"/>
        <v>253872</v>
      </c>
      <c r="I382" s="38">
        <v>2219</v>
      </c>
      <c r="J382" s="38">
        <v>271493</v>
      </c>
      <c r="K382" s="38">
        <v>82807</v>
      </c>
      <c r="L382" s="38">
        <v>193855</v>
      </c>
      <c r="M382" s="23">
        <v>2464467</v>
      </c>
      <c r="N382" s="20">
        <f t="shared" si="103"/>
        <v>268007</v>
      </c>
      <c r="O382" s="20">
        <f t="shared" si="104"/>
        <v>3751895</v>
      </c>
      <c r="P382" s="23">
        <v>10256</v>
      </c>
      <c r="Q382" s="20">
        <f t="shared" si="105"/>
        <v>258117</v>
      </c>
      <c r="R382" s="23">
        <v>4020268</v>
      </c>
      <c r="S382" s="25">
        <f t="shared" si="106"/>
        <v>6.4203928693310999E-2</v>
      </c>
      <c r="T382" s="60">
        <v>2142023</v>
      </c>
      <c r="U382" s="2">
        <f t="shared" si="71"/>
        <v>2006</v>
      </c>
      <c r="V382" s="2">
        <f t="shared" si="72"/>
        <v>5</v>
      </c>
      <c r="W382" s="16">
        <f t="shared" si="81"/>
        <v>1619811</v>
      </c>
      <c r="X382" s="23">
        <v>1430460</v>
      </c>
      <c r="Y382" s="23">
        <v>163432</v>
      </c>
      <c r="Z382" s="23">
        <v>2742</v>
      </c>
      <c r="AA382" s="23">
        <v>1765</v>
      </c>
      <c r="AB382" s="23">
        <v>21390</v>
      </c>
      <c r="AC382" s="23">
        <v>6</v>
      </c>
      <c r="AD382" s="23">
        <v>16</v>
      </c>
      <c r="AE382" s="20">
        <f t="shared" si="77"/>
        <v>22</v>
      </c>
      <c r="AF382" s="20">
        <f t="shared" si="68"/>
        <v>1619789</v>
      </c>
    </row>
    <row r="383" spans="1:32">
      <c r="A383" s="2">
        <f t="shared" si="102"/>
        <v>2006</v>
      </c>
      <c r="B383" s="2">
        <f t="shared" si="85"/>
        <v>6</v>
      </c>
      <c r="C383" s="16">
        <f t="shared" si="48"/>
        <v>3958611</v>
      </c>
      <c r="D383" s="9">
        <v>1886875</v>
      </c>
      <c r="E383" s="9">
        <v>1111423</v>
      </c>
      <c r="F383" s="40">
        <v>380544</v>
      </c>
      <c r="G383" s="52">
        <v>129212</v>
      </c>
      <c r="H383" s="53">
        <f t="shared" si="49"/>
        <v>251332</v>
      </c>
      <c r="I383" s="38">
        <v>2199</v>
      </c>
      <c r="J383" s="38">
        <v>277683</v>
      </c>
      <c r="K383" s="38">
        <v>82816</v>
      </c>
      <c r="L383" s="38">
        <v>217071</v>
      </c>
      <c r="M383" s="23">
        <v>2708925</v>
      </c>
      <c r="N383" s="20">
        <f t="shared" si="103"/>
        <v>244458</v>
      </c>
      <c r="O383" s="20">
        <f t="shared" si="104"/>
        <v>4203069</v>
      </c>
      <c r="P383" s="23">
        <v>12124</v>
      </c>
      <c r="Q383" s="20">
        <f t="shared" si="105"/>
        <v>185693</v>
      </c>
      <c r="R383" s="23">
        <v>4400886</v>
      </c>
      <c r="S383" s="25">
        <f t="shared" si="106"/>
        <v>4.2194458115933926E-2</v>
      </c>
      <c r="T383" s="60">
        <v>2288151</v>
      </c>
      <c r="U383" s="2">
        <f t="shared" si="71"/>
        <v>2006</v>
      </c>
      <c r="V383" s="2">
        <f t="shared" si="72"/>
        <v>6</v>
      </c>
      <c r="W383" s="16">
        <f t="shared" si="81"/>
        <v>1623112</v>
      </c>
      <c r="X383" s="23">
        <v>1433485</v>
      </c>
      <c r="Y383" s="23">
        <v>163791</v>
      </c>
      <c r="Z383" s="23">
        <v>2691</v>
      </c>
      <c r="AA383" s="23">
        <v>1747</v>
      </c>
      <c r="AB383" s="23">
        <v>21375</v>
      </c>
      <c r="AC383" s="23">
        <v>6</v>
      </c>
      <c r="AD383" s="23">
        <v>17</v>
      </c>
      <c r="AE383" s="20">
        <f t="shared" si="77"/>
        <v>23</v>
      </c>
      <c r="AF383" s="20">
        <f t="shared" si="68"/>
        <v>1623089</v>
      </c>
    </row>
    <row r="384" spans="1:32">
      <c r="A384" s="2">
        <f t="shared" si="102"/>
        <v>2006</v>
      </c>
      <c r="B384" s="2">
        <f t="shared" si="85"/>
        <v>7</v>
      </c>
      <c r="C384" s="16">
        <f t="shared" si="48"/>
        <v>4056589</v>
      </c>
      <c r="D384" s="9">
        <v>1957365</v>
      </c>
      <c r="E384" s="9">
        <v>1099908</v>
      </c>
      <c r="F384" s="40">
        <v>332624</v>
      </c>
      <c r="G384" s="52">
        <v>91507</v>
      </c>
      <c r="H384" s="53">
        <f t="shared" si="49"/>
        <v>241117</v>
      </c>
      <c r="I384" s="38">
        <v>2237</v>
      </c>
      <c r="J384" s="38">
        <v>281146</v>
      </c>
      <c r="K384" s="38">
        <v>142744</v>
      </c>
      <c r="L384" s="38">
        <v>240565</v>
      </c>
      <c r="M384" s="23">
        <v>3011925</v>
      </c>
      <c r="N384" s="20">
        <f t="shared" ref="N384:N389" si="107">(M384-M383)</f>
        <v>303000</v>
      </c>
      <c r="O384" s="20">
        <f t="shared" ref="O384:O389" si="108">(C384+N384)</f>
        <v>4359589</v>
      </c>
      <c r="P384" s="23">
        <v>16088</v>
      </c>
      <c r="Q384" s="20">
        <f t="shared" si="105"/>
        <v>323243</v>
      </c>
      <c r="R384" s="23">
        <v>4698920</v>
      </c>
      <c r="S384" s="25">
        <f t="shared" si="106"/>
        <v>6.8790913656755173E-2</v>
      </c>
      <c r="T384" s="60">
        <v>2490561</v>
      </c>
      <c r="U384" s="2">
        <f t="shared" si="71"/>
        <v>2006</v>
      </c>
      <c r="V384" s="2">
        <f t="shared" si="72"/>
        <v>7</v>
      </c>
      <c r="W384" s="16">
        <f t="shared" si="81"/>
        <v>1535483</v>
      </c>
      <c r="X384" s="23">
        <v>1353427</v>
      </c>
      <c r="Y384" s="23">
        <v>156870</v>
      </c>
      <c r="Z384" s="23">
        <v>2668</v>
      </c>
      <c r="AA384" s="23">
        <v>1747</v>
      </c>
      <c r="AB384" s="23">
        <v>20749</v>
      </c>
      <c r="AC384" s="23">
        <v>6</v>
      </c>
      <c r="AD384" s="23">
        <v>16</v>
      </c>
      <c r="AE384" s="20">
        <f t="shared" si="77"/>
        <v>22</v>
      </c>
      <c r="AF384" s="20">
        <f t="shared" si="68"/>
        <v>1535461</v>
      </c>
    </row>
    <row r="385" spans="1:32">
      <c r="A385" s="2">
        <f t="shared" si="102"/>
        <v>2006</v>
      </c>
      <c r="B385" s="2">
        <f t="shared" si="85"/>
        <v>8</v>
      </c>
      <c r="C385" s="16">
        <f t="shared" si="48"/>
        <v>4642024</v>
      </c>
      <c r="D385" s="9">
        <v>2319788</v>
      </c>
      <c r="E385" s="9">
        <v>1214617</v>
      </c>
      <c r="F385" s="40">
        <v>361976</v>
      </c>
      <c r="G385" s="52">
        <v>96659</v>
      </c>
      <c r="H385" s="53">
        <f t="shared" si="49"/>
        <v>265317</v>
      </c>
      <c r="I385" s="38">
        <v>2222</v>
      </c>
      <c r="J385" s="38">
        <v>298874</v>
      </c>
      <c r="K385" s="38">
        <v>187275</v>
      </c>
      <c r="L385" s="38">
        <v>257272</v>
      </c>
      <c r="M385" s="23">
        <v>3055418</v>
      </c>
      <c r="N385" s="20">
        <f t="shared" si="107"/>
        <v>43493</v>
      </c>
      <c r="O385" s="20">
        <f t="shared" si="108"/>
        <v>4685517</v>
      </c>
      <c r="P385" s="23">
        <v>17685</v>
      </c>
      <c r="Q385" s="20">
        <f t="shared" si="105"/>
        <v>216323</v>
      </c>
      <c r="R385" s="23">
        <v>4919525</v>
      </c>
      <c r="S385" s="25">
        <f t="shared" si="106"/>
        <v>4.3972334727438118E-2</v>
      </c>
      <c r="T385" s="60">
        <v>2483478</v>
      </c>
      <c r="U385" s="2">
        <f t="shared" si="71"/>
        <v>2006</v>
      </c>
      <c r="V385" s="2">
        <f t="shared" si="72"/>
        <v>8</v>
      </c>
      <c r="W385" s="16">
        <f t="shared" si="81"/>
        <v>1692039</v>
      </c>
      <c r="X385" s="23">
        <v>1497088</v>
      </c>
      <c r="Y385" s="23">
        <v>168465</v>
      </c>
      <c r="Z385" s="23">
        <v>2756</v>
      </c>
      <c r="AA385" s="23">
        <v>1747</v>
      </c>
      <c r="AB385" s="23">
        <v>21961</v>
      </c>
      <c r="AC385" s="23">
        <v>6</v>
      </c>
      <c r="AD385" s="23">
        <v>16</v>
      </c>
      <c r="AE385" s="20">
        <f t="shared" si="77"/>
        <v>22</v>
      </c>
      <c r="AF385" s="20">
        <f t="shared" si="68"/>
        <v>1692017</v>
      </c>
    </row>
    <row r="386" spans="1:32">
      <c r="A386" s="2">
        <f t="shared" si="102"/>
        <v>2006</v>
      </c>
      <c r="B386" s="2">
        <f t="shared" si="85"/>
        <v>9</v>
      </c>
      <c r="C386" s="16">
        <f t="shared" si="48"/>
        <v>4455919</v>
      </c>
      <c r="D386" s="9">
        <v>2091769</v>
      </c>
      <c r="E386" s="9">
        <v>1166195</v>
      </c>
      <c r="F386" s="40">
        <v>372403</v>
      </c>
      <c r="G386" s="52">
        <v>111544</v>
      </c>
      <c r="H386" s="53">
        <f t="shared" si="49"/>
        <v>260859</v>
      </c>
      <c r="I386" s="38">
        <v>2064</v>
      </c>
      <c r="J386" s="38">
        <v>318377</v>
      </c>
      <c r="K386" s="38">
        <v>238090</v>
      </c>
      <c r="L386" s="38">
        <v>267021</v>
      </c>
      <c r="M386" s="23">
        <v>2611980</v>
      </c>
      <c r="N386" s="20">
        <f t="shared" si="107"/>
        <v>-443438</v>
      </c>
      <c r="O386" s="20">
        <f t="shared" si="108"/>
        <v>4012481</v>
      </c>
      <c r="P386" s="23">
        <v>15023</v>
      </c>
      <c r="Q386" s="20">
        <f t="shared" ref="Q386:Q392" si="109">(R386-O386-P386)</f>
        <v>242218</v>
      </c>
      <c r="R386" s="23">
        <v>4269722</v>
      </c>
      <c r="S386" s="25">
        <f t="shared" ref="S386:S392" si="110">(Q386/R386)</f>
        <v>5.6729220309893712E-2</v>
      </c>
      <c r="T386" s="60">
        <v>2155096</v>
      </c>
      <c r="U386" s="2">
        <f t="shared" si="71"/>
        <v>2006</v>
      </c>
      <c r="V386" s="2">
        <f t="shared" si="72"/>
        <v>9</v>
      </c>
      <c r="W386" s="16">
        <f t="shared" si="81"/>
        <v>1628960</v>
      </c>
      <c r="X386" s="23">
        <v>1439691</v>
      </c>
      <c r="Y386" s="23">
        <v>163201</v>
      </c>
      <c r="Z386" s="23">
        <v>2639</v>
      </c>
      <c r="AA386" s="23">
        <v>1739</v>
      </c>
      <c r="AB386" s="23">
        <v>21668</v>
      </c>
      <c r="AC386" s="23">
        <v>6</v>
      </c>
      <c r="AD386" s="23">
        <v>16</v>
      </c>
      <c r="AE386" s="20">
        <f t="shared" si="77"/>
        <v>22</v>
      </c>
      <c r="AF386" s="20">
        <f t="shared" si="68"/>
        <v>1628938</v>
      </c>
    </row>
    <row r="387" spans="1:32">
      <c r="A387" s="2">
        <f t="shared" si="102"/>
        <v>2006</v>
      </c>
      <c r="B387" s="2">
        <f t="shared" si="85"/>
        <v>10</v>
      </c>
      <c r="C387" s="16">
        <f t="shared" si="48"/>
        <v>3835802</v>
      </c>
      <c r="D387" s="9">
        <v>1714431</v>
      </c>
      <c r="E387" s="9">
        <v>1025595</v>
      </c>
      <c r="F387" s="40">
        <v>325835</v>
      </c>
      <c r="G387" s="52">
        <v>88402</v>
      </c>
      <c r="H387" s="53">
        <f t="shared" si="49"/>
        <v>237433</v>
      </c>
      <c r="I387" s="38">
        <v>2410</v>
      </c>
      <c r="J387" s="38">
        <v>292882</v>
      </c>
      <c r="K387" s="38">
        <v>246216</v>
      </c>
      <c r="L387" s="38">
        <v>228433</v>
      </c>
      <c r="M387" s="23">
        <v>2341396</v>
      </c>
      <c r="N387" s="20">
        <f t="shared" si="107"/>
        <v>-270584</v>
      </c>
      <c r="O387" s="20">
        <f t="shared" si="108"/>
        <v>3565218</v>
      </c>
      <c r="P387" s="23">
        <v>12699</v>
      </c>
      <c r="Q387" s="20">
        <f t="shared" si="109"/>
        <v>185512</v>
      </c>
      <c r="R387" s="23">
        <v>3763429</v>
      </c>
      <c r="S387" s="25">
        <f t="shared" si="110"/>
        <v>4.9293343915880972E-2</v>
      </c>
      <c r="T387" s="60">
        <v>1976436</v>
      </c>
      <c r="U387" s="2">
        <f t="shared" si="71"/>
        <v>2006</v>
      </c>
      <c r="V387" s="2">
        <f t="shared" si="72"/>
        <v>10</v>
      </c>
      <c r="W387" s="16">
        <f t="shared" si="81"/>
        <v>1556374</v>
      </c>
      <c r="X387" s="23">
        <v>1371835</v>
      </c>
      <c r="Y387" s="23">
        <v>158837</v>
      </c>
      <c r="Z387" s="23">
        <v>2659</v>
      </c>
      <c r="AA387" s="23">
        <v>1737</v>
      </c>
      <c r="AB387" s="23">
        <v>21287</v>
      </c>
      <c r="AC387" s="23">
        <v>4</v>
      </c>
      <c r="AD387" s="23">
        <v>15</v>
      </c>
      <c r="AE387" s="20">
        <f t="shared" si="77"/>
        <v>19</v>
      </c>
      <c r="AF387" s="20">
        <f t="shared" si="68"/>
        <v>1556355</v>
      </c>
    </row>
    <row r="388" spans="1:32">
      <c r="A388" s="2">
        <f t="shared" si="102"/>
        <v>2006</v>
      </c>
      <c r="B388" s="2">
        <f t="shared" si="85"/>
        <v>11</v>
      </c>
      <c r="C388" s="57">
        <f t="shared" si="48"/>
        <v>3392306</v>
      </c>
      <c r="D388" s="34">
        <v>1480520</v>
      </c>
      <c r="E388" s="34">
        <v>986103</v>
      </c>
      <c r="F388" s="42">
        <v>332132</v>
      </c>
      <c r="G388" s="58">
        <v>92623</v>
      </c>
      <c r="H388" s="59">
        <f t="shared" si="49"/>
        <v>239509</v>
      </c>
      <c r="I388" s="41">
        <v>2208</v>
      </c>
      <c r="J388" s="41">
        <v>283442</v>
      </c>
      <c r="K388" s="38">
        <v>81854</v>
      </c>
      <c r="L388" s="38">
        <v>226047</v>
      </c>
      <c r="M388" s="67">
        <v>1938331</v>
      </c>
      <c r="N388" s="20">
        <f t="shared" si="107"/>
        <v>-403065</v>
      </c>
      <c r="O388" s="20">
        <f t="shared" si="108"/>
        <v>2989241</v>
      </c>
      <c r="P388" s="67">
        <v>12565</v>
      </c>
      <c r="Q388" s="20">
        <f t="shared" si="109"/>
        <v>190634</v>
      </c>
      <c r="R388" s="60">
        <v>3192440</v>
      </c>
      <c r="S388" s="25">
        <f t="shared" si="110"/>
        <v>5.9714199797020459E-2</v>
      </c>
      <c r="T388" s="60">
        <v>1607905</v>
      </c>
      <c r="U388" s="2">
        <f t="shared" si="71"/>
        <v>2006</v>
      </c>
      <c r="V388" s="2">
        <f t="shared" si="72"/>
        <v>11</v>
      </c>
      <c r="W388" s="16">
        <f t="shared" si="81"/>
        <v>1694782</v>
      </c>
      <c r="X388" s="23">
        <v>1501446</v>
      </c>
      <c r="Y388" s="23">
        <v>166634</v>
      </c>
      <c r="Z388" s="23">
        <v>2702</v>
      </c>
      <c r="AA388" s="23">
        <v>1732</v>
      </c>
      <c r="AB388" s="23">
        <v>22247</v>
      </c>
      <c r="AC388" s="23">
        <v>4</v>
      </c>
      <c r="AD388" s="23">
        <v>17</v>
      </c>
      <c r="AE388" s="20">
        <f t="shared" si="77"/>
        <v>21</v>
      </c>
      <c r="AF388" s="20">
        <f t="shared" si="68"/>
        <v>1694761</v>
      </c>
    </row>
    <row r="389" spans="1:32" s="26" customFormat="1">
      <c r="A389" s="26">
        <f t="shared" si="102"/>
        <v>2006</v>
      </c>
      <c r="B389" s="26">
        <f t="shared" si="85"/>
        <v>12</v>
      </c>
      <c r="C389" s="61">
        <f t="shared" si="48"/>
        <v>3250870</v>
      </c>
      <c r="D389" s="13">
        <v>1400635</v>
      </c>
      <c r="E389" s="13">
        <v>922924</v>
      </c>
      <c r="F389" s="44">
        <v>329493</v>
      </c>
      <c r="G389" s="62">
        <v>84628</v>
      </c>
      <c r="H389" s="63">
        <f t="shared" si="49"/>
        <v>244865</v>
      </c>
      <c r="I389" s="43">
        <v>2213</v>
      </c>
      <c r="J389" s="43">
        <v>261061</v>
      </c>
      <c r="K389" s="43">
        <v>140729</v>
      </c>
      <c r="L389" s="43">
        <v>193815</v>
      </c>
      <c r="M389" s="69">
        <v>1846971</v>
      </c>
      <c r="N389" s="47">
        <f t="shared" si="107"/>
        <v>-91360</v>
      </c>
      <c r="O389" s="47">
        <f t="shared" si="108"/>
        <v>3159510</v>
      </c>
      <c r="P389" s="69">
        <v>10619</v>
      </c>
      <c r="Q389" s="47">
        <f t="shared" si="109"/>
        <v>157264</v>
      </c>
      <c r="R389" s="33">
        <v>3327393</v>
      </c>
      <c r="S389" s="31">
        <f t="shared" si="110"/>
        <v>4.726342815531559E-2</v>
      </c>
      <c r="T389" s="70">
        <v>1540878</v>
      </c>
      <c r="U389" s="26">
        <f t="shared" si="71"/>
        <v>2006</v>
      </c>
      <c r="V389" s="26">
        <f t="shared" si="72"/>
        <v>12</v>
      </c>
      <c r="W389" s="27">
        <f t="shared" si="81"/>
        <v>1679076</v>
      </c>
      <c r="X389" s="33">
        <v>1487586</v>
      </c>
      <c r="Y389" s="33">
        <v>164944</v>
      </c>
      <c r="Z389" s="33">
        <v>2708</v>
      </c>
      <c r="AA389" s="33">
        <v>1721</v>
      </c>
      <c r="AB389" s="33">
        <v>22097</v>
      </c>
      <c r="AC389" s="33">
        <v>4</v>
      </c>
      <c r="AD389" s="33">
        <v>16</v>
      </c>
      <c r="AE389" s="20">
        <f t="shared" si="77"/>
        <v>20</v>
      </c>
      <c r="AF389" s="20">
        <f t="shared" si="68"/>
        <v>1679056</v>
      </c>
    </row>
    <row r="390" spans="1:32">
      <c r="A390" s="2">
        <f t="shared" si="102"/>
        <v>2007</v>
      </c>
      <c r="B390" s="2">
        <f t="shared" si="85"/>
        <v>1</v>
      </c>
      <c r="C390" s="57">
        <f t="shared" si="48"/>
        <v>3071615</v>
      </c>
      <c r="D390" s="34">
        <v>1304777</v>
      </c>
      <c r="E390" s="34">
        <v>922117</v>
      </c>
      <c r="F390" s="42">
        <v>283885</v>
      </c>
      <c r="G390" s="58">
        <v>76298</v>
      </c>
      <c r="H390" s="59">
        <f t="shared" si="49"/>
        <v>207587</v>
      </c>
      <c r="I390" s="41">
        <v>2201</v>
      </c>
      <c r="J390" s="41">
        <v>249462</v>
      </c>
      <c r="K390" s="41">
        <v>130313</v>
      </c>
      <c r="L390" s="41">
        <v>178860</v>
      </c>
      <c r="M390" s="67">
        <v>1992521</v>
      </c>
      <c r="N390" s="20">
        <f t="shared" ref="N390:N395" si="111">(M390-M389)</f>
        <v>145550</v>
      </c>
      <c r="O390" s="20">
        <f t="shared" ref="O390:O395" si="112">(C390+N390)</f>
        <v>3217165</v>
      </c>
      <c r="P390" s="67">
        <v>11185</v>
      </c>
      <c r="Q390" s="20">
        <f t="shared" si="109"/>
        <v>158370</v>
      </c>
      <c r="R390" s="23">
        <v>3386720</v>
      </c>
      <c r="S390" s="25">
        <f t="shared" si="110"/>
        <v>4.6762058865214721E-2</v>
      </c>
      <c r="T390" s="60">
        <v>1660913</v>
      </c>
      <c r="U390" s="2">
        <f t="shared" si="71"/>
        <v>2007</v>
      </c>
      <c r="V390" s="2">
        <f t="shared" si="72"/>
        <v>1</v>
      </c>
      <c r="W390" s="16">
        <f t="shared" si="81"/>
        <v>1565271</v>
      </c>
      <c r="X390" s="23">
        <v>1378957</v>
      </c>
      <c r="Y390" s="23">
        <v>160228</v>
      </c>
      <c r="Z390" s="23">
        <v>2736</v>
      </c>
      <c r="AA390" s="23">
        <v>1714</v>
      </c>
      <c r="AB390" s="23">
        <v>21616</v>
      </c>
      <c r="AC390" s="23">
        <v>4</v>
      </c>
      <c r="AD390" s="23">
        <v>16</v>
      </c>
      <c r="AE390" s="20">
        <f t="shared" si="77"/>
        <v>20</v>
      </c>
      <c r="AF390" s="20">
        <f t="shared" si="68"/>
        <v>1565251</v>
      </c>
    </row>
    <row r="391" spans="1:32">
      <c r="A391" s="2">
        <f t="shared" si="102"/>
        <v>2007</v>
      </c>
      <c r="B391" s="2">
        <f t="shared" si="85"/>
        <v>2</v>
      </c>
      <c r="C391" s="57">
        <f t="shared" si="48"/>
        <v>3213154</v>
      </c>
      <c r="D391" s="34">
        <v>1482149</v>
      </c>
      <c r="E391" s="34">
        <v>836578</v>
      </c>
      <c r="F391" s="42">
        <v>318130</v>
      </c>
      <c r="G391" s="58">
        <v>100074</v>
      </c>
      <c r="H391" s="59">
        <f t="shared" si="49"/>
        <v>218056</v>
      </c>
      <c r="I391" s="41">
        <v>2189</v>
      </c>
      <c r="J391" s="41">
        <v>245983</v>
      </c>
      <c r="K391" s="41">
        <v>127552</v>
      </c>
      <c r="L391" s="41">
        <v>200573</v>
      </c>
      <c r="M391" s="67">
        <v>1854871</v>
      </c>
      <c r="N391" s="20">
        <f t="shared" si="111"/>
        <v>-137650</v>
      </c>
      <c r="O391" s="20">
        <f t="shared" si="112"/>
        <v>3075504</v>
      </c>
      <c r="P391" s="67">
        <v>19584</v>
      </c>
      <c r="Q391" s="20">
        <f t="shared" si="109"/>
        <v>213713</v>
      </c>
      <c r="R391" s="23">
        <v>3308801</v>
      </c>
      <c r="S391" s="25">
        <f t="shared" si="110"/>
        <v>6.4589257558855917E-2</v>
      </c>
      <c r="T391" s="60">
        <v>1459405</v>
      </c>
      <c r="U391" s="2">
        <f t="shared" si="71"/>
        <v>2007</v>
      </c>
      <c r="V391" s="2">
        <f t="shared" si="72"/>
        <v>2</v>
      </c>
      <c r="W391" s="16">
        <f t="shared" si="81"/>
        <v>1642883</v>
      </c>
      <c r="X391" s="23">
        <v>1453907</v>
      </c>
      <c r="Y391" s="23">
        <v>162545</v>
      </c>
      <c r="Z391" s="23">
        <v>2674</v>
      </c>
      <c r="AA391" s="23">
        <v>1713</v>
      </c>
      <c r="AB391" s="23">
        <v>22023</v>
      </c>
      <c r="AC391" s="23">
        <v>4</v>
      </c>
      <c r="AD391" s="23">
        <v>17</v>
      </c>
      <c r="AE391" s="20">
        <f t="shared" si="77"/>
        <v>21</v>
      </c>
      <c r="AF391" s="20">
        <f t="shared" ref="AF391:AF446" si="113">SUM(X391:AB391)</f>
        <v>1642862</v>
      </c>
    </row>
    <row r="392" spans="1:32">
      <c r="A392" s="2">
        <f t="shared" si="102"/>
        <v>2007</v>
      </c>
      <c r="B392" s="2">
        <f t="shared" si="85"/>
        <v>3</v>
      </c>
      <c r="C392" s="57">
        <f t="shared" si="48"/>
        <v>3163915</v>
      </c>
      <c r="D392" s="34">
        <v>1368113</v>
      </c>
      <c r="E392" s="34">
        <v>865126</v>
      </c>
      <c r="F392" s="42">
        <v>292588</v>
      </c>
      <c r="G392" s="58">
        <v>76692</v>
      </c>
      <c r="H392" s="59">
        <f t="shared" si="49"/>
        <v>215896</v>
      </c>
      <c r="I392" s="41">
        <v>2188</v>
      </c>
      <c r="J392" s="41">
        <v>246148</v>
      </c>
      <c r="K392" s="41">
        <v>192230</v>
      </c>
      <c r="L392" s="41">
        <v>197522</v>
      </c>
      <c r="M392" s="71">
        <v>2036794</v>
      </c>
      <c r="N392" s="20">
        <f t="shared" si="111"/>
        <v>181923</v>
      </c>
      <c r="O392" s="20">
        <f t="shared" si="112"/>
        <v>3345838</v>
      </c>
      <c r="P392" s="67">
        <v>3388</v>
      </c>
      <c r="Q392" s="20">
        <f t="shared" si="109"/>
        <v>110088</v>
      </c>
      <c r="R392" s="23">
        <v>3459314</v>
      </c>
      <c r="S392" s="72">
        <f t="shared" si="110"/>
        <v>3.1823650585058191E-2</v>
      </c>
      <c r="T392" s="71">
        <v>1610229</v>
      </c>
      <c r="U392" s="2">
        <f t="shared" si="71"/>
        <v>2007</v>
      </c>
      <c r="V392" s="2">
        <f t="shared" si="72"/>
        <v>3</v>
      </c>
      <c r="W392" s="16">
        <f t="shared" si="81"/>
        <v>1629724</v>
      </c>
      <c r="X392" s="23">
        <v>1441633</v>
      </c>
      <c r="Y392" s="23">
        <v>161855</v>
      </c>
      <c r="Z392" s="23">
        <v>2656</v>
      </c>
      <c r="AA392" s="23">
        <v>1709</v>
      </c>
      <c r="AB392" s="23">
        <v>21851</v>
      </c>
      <c r="AC392" s="23">
        <v>4</v>
      </c>
      <c r="AD392" s="23">
        <v>16</v>
      </c>
      <c r="AE392" s="20">
        <f t="shared" si="77"/>
        <v>20</v>
      </c>
      <c r="AF392" s="20">
        <f t="shared" si="113"/>
        <v>1629704</v>
      </c>
    </row>
    <row r="393" spans="1:32">
      <c r="A393" s="2">
        <f t="shared" si="102"/>
        <v>2007</v>
      </c>
      <c r="B393" s="2">
        <f t="shared" si="85"/>
        <v>4</v>
      </c>
      <c r="C393" s="57">
        <f t="shared" si="48"/>
        <v>3225789</v>
      </c>
      <c r="D393" s="34">
        <v>1321163</v>
      </c>
      <c r="E393" s="34">
        <f>927537-22999</f>
        <v>904538</v>
      </c>
      <c r="F393" s="42">
        <v>314270</v>
      </c>
      <c r="G393" s="58">
        <v>96238</v>
      </c>
      <c r="H393" s="59">
        <f t="shared" si="49"/>
        <v>218032</v>
      </c>
      <c r="I393" s="41">
        <v>2195</v>
      </c>
      <c r="J393" s="41">
        <v>256819</v>
      </c>
      <c r="K393" s="41">
        <v>189095</v>
      </c>
      <c r="L393" s="41">
        <v>237709</v>
      </c>
      <c r="M393" s="67">
        <v>2108481</v>
      </c>
      <c r="N393" s="20">
        <f t="shared" si="111"/>
        <v>71687</v>
      </c>
      <c r="O393" s="20">
        <f t="shared" si="112"/>
        <v>3297476</v>
      </c>
      <c r="P393" s="67">
        <v>8737</v>
      </c>
      <c r="Q393" s="20">
        <f t="shared" ref="Q393:Q399" si="114">(R393-O393-P393)</f>
        <v>185190</v>
      </c>
      <c r="R393" s="23">
        <v>3491403</v>
      </c>
      <c r="S393" s="72">
        <f t="shared" ref="S393:S403" si="115">(Q393/R393)</f>
        <v>5.3041714176220847E-2</v>
      </c>
      <c r="T393" s="71">
        <v>1658456</v>
      </c>
      <c r="U393" s="2">
        <f t="shared" si="71"/>
        <v>2007</v>
      </c>
      <c r="V393" s="2">
        <f t="shared" si="72"/>
        <v>4</v>
      </c>
      <c r="W393" s="16">
        <f t="shared" si="81"/>
        <v>1634170</v>
      </c>
      <c r="X393" s="23">
        <v>1446571</v>
      </c>
      <c r="Y393" s="23">
        <v>161434</v>
      </c>
      <c r="Z393" s="23">
        <v>2614</v>
      </c>
      <c r="AA393" s="23">
        <v>1707</v>
      </c>
      <c r="AB393" s="23">
        <v>21823</v>
      </c>
      <c r="AC393" s="23">
        <v>4</v>
      </c>
      <c r="AD393" s="23">
        <v>17</v>
      </c>
      <c r="AE393" s="20">
        <f t="shared" si="77"/>
        <v>21</v>
      </c>
      <c r="AF393" s="20">
        <f t="shared" si="113"/>
        <v>1634149</v>
      </c>
    </row>
    <row r="394" spans="1:32">
      <c r="A394" s="2">
        <f t="shared" si="102"/>
        <v>2007</v>
      </c>
      <c r="B394" s="2">
        <f t="shared" si="85"/>
        <v>5</v>
      </c>
      <c r="C394" s="57">
        <f t="shared" si="48"/>
        <v>3495675</v>
      </c>
      <c r="D394" s="34">
        <v>1471813</v>
      </c>
      <c r="E394" s="34">
        <f>964884+22999</f>
        <v>987883</v>
      </c>
      <c r="F394" s="42">
        <v>308801</v>
      </c>
      <c r="G394" s="58">
        <v>81764</v>
      </c>
      <c r="H394" s="59">
        <f t="shared" si="49"/>
        <v>227037</v>
      </c>
      <c r="I394" s="41">
        <v>2184</v>
      </c>
      <c r="J394" s="41">
        <v>272248</v>
      </c>
      <c r="K394" s="41">
        <v>214685</v>
      </c>
      <c r="L394" s="41">
        <v>238061</v>
      </c>
      <c r="M394" s="67">
        <v>2460296</v>
      </c>
      <c r="N394" s="20">
        <f t="shared" si="111"/>
        <v>351815</v>
      </c>
      <c r="O394" s="20">
        <f t="shared" si="112"/>
        <v>3847490</v>
      </c>
      <c r="P394" s="67">
        <v>9511</v>
      </c>
      <c r="Q394" s="20">
        <f t="shared" si="114"/>
        <v>177813</v>
      </c>
      <c r="R394" s="23">
        <v>4034814</v>
      </c>
      <c r="S394" s="72">
        <f t="shared" si="115"/>
        <v>4.4069689457804005E-2</v>
      </c>
      <c r="T394" s="71">
        <v>2011259</v>
      </c>
      <c r="U394" s="2">
        <f t="shared" ref="U394:U462" si="116">U382+1</f>
        <v>2007</v>
      </c>
      <c r="V394" s="2">
        <f t="shared" ref="V394:V462" si="117">V382</f>
        <v>5</v>
      </c>
      <c r="W394" s="16">
        <f t="shared" si="81"/>
        <v>1648810</v>
      </c>
      <c r="X394" s="67">
        <v>1457136</v>
      </c>
      <c r="Y394" s="67">
        <v>164620</v>
      </c>
      <c r="Z394" s="23">
        <v>2708</v>
      </c>
      <c r="AA394" s="23">
        <v>1711</v>
      </c>
      <c r="AB394" s="23">
        <v>22614</v>
      </c>
      <c r="AC394" s="23">
        <v>4</v>
      </c>
      <c r="AD394" s="23">
        <v>17</v>
      </c>
      <c r="AE394" s="20">
        <f t="shared" si="77"/>
        <v>21</v>
      </c>
      <c r="AF394" s="20">
        <f t="shared" si="113"/>
        <v>1648789</v>
      </c>
    </row>
    <row r="395" spans="1:32">
      <c r="A395" s="2">
        <f t="shared" si="102"/>
        <v>2007</v>
      </c>
      <c r="B395" s="2">
        <f t="shared" si="85"/>
        <v>6</v>
      </c>
      <c r="C395" s="57">
        <f t="shared" si="48"/>
        <v>3834350</v>
      </c>
      <c r="D395" s="34">
        <v>1709203</v>
      </c>
      <c r="E395" s="34">
        <v>1054087</v>
      </c>
      <c r="F395" s="42">
        <v>315387</v>
      </c>
      <c r="G395" s="58">
        <v>85117</v>
      </c>
      <c r="H395" s="59">
        <f t="shared" si="49"/>
        <v>230270</v>
      </c>
      <c r="I395" s="41">
        <v>2192</v>
      </c>
      <c r="J395" s="41">
        <v>275808</v>
      </c>
      <c r="K395" s="41">
        <v>222648</v>
      </c>
      <c r="L395" s="41">
        <v>255025</v>
      </c>
      <c r="M395" s="67">
        <v>2788018</v>
      </c>
      <c r="N395" s="20">
        <f t="shared" si="111"/>
        <v>327722</v>
      </c>
      <c r="O395" s="20">
        <f t="shared" si="112"/>
        <v>4162072</v>
      </c>
      <c r="P395" s="67">
        <v>7243</v>
      </c>
      <c r="Q395" s="20">
        <f t="shared" si="114"/>
        <v>260866</v>
      </c>
      <c r="R395" s="23">
        <v>4430181</v>
      </c>
      <c r="S395" s="72">
        <f t="shared" si="115"/>
        <v>5.8883824385504789E-2</v>
      </c>
      <c r="T395" s="71">
        <v>2277755</v>
      </c>
      <c r="U395" s="2">
        <f t="shared" si="116"/>
        <v>2007</v>
      </c>
      <c r="V395" s="2">
        <f t="shared" si="117"/>
        <v>6</v>
      </c>
      <c r="W395" s="16">
        <f t="shared" si="81"/>
        <v>1630387</v>
      </c>
      <c r="X395" s="23">
        <v>1439464</v>
      </c>
      <c r="Y395" s="23">
        <v>164291</v>
      </c>
      <c r="Z395" s="23">
        <v>2668</v>
      </c>
      <c r="AA395" s="23">
        <v>1700</v>
      </c>
      <c r="AB395" s="23">
        <v>22242</v>
      </c>
      <c r="AC395" s="23">
        <v>5</v>
      </c>
      <c r="AD395" s="23">
        <v>17</v>
      </c>
      <c r="AE395" s="20">
        <f t="shared" si="77"/>
        <v>22</v>
      </c>
      <c r="AF395" s="20">
        <f t="shared" si="113"/>
        <v>1630365</v>
      </c>
    </row>
    <row r="396" spans="1:32">
      <c r="A396" s="2">
        <f t="shared" si="102"/>
        <v>2007</v>
      </c>
      <c r="B396" s="2">
        <f t="shared" si="85"/>
        <v>7</v>
      </c>
      <c r="C396" s="57">
        <f t="shared" si="48"/>
        <v>4223226</v>
      </c>
      <c r="D396" s="34">
        <v>2005177</v>
      </c>
      <c r="E396" s="34">
        <v>1113229</v>
      </c>
      <c r="F396" s="42">
        <v>332633</v>
      </c>
      <c r="G396" s="58">
        <v>89970</v>
      </c>
      <c r="H396" s="59">
        <f t="shared" si="49"/>
        <v>242663</v>
      </c>
      <c r="I396" s="41">
        <v>2003</v>
      </c>
      <c r="J396" s="41">
        <v>282932</v>
      </c>
      <c r="K396" s="41">
        <v>225418</v>
      </c>
      <c r="L396" s="41">
        <v>261834</v>
      </c>
      <c r="M396" s="67">
        <v>3144255</v>
      </c>
      <c r="N396" s="20">
        <f t="shared" ref="N396:N401" si="118">(M396-M395)</f>
        <v>356237</v>
      </c>
      <c r="O396" s="20">
        <f t="shared" ref="O396:O401" si="119">(C396+N396)</f>
        <v>4579463</v>
      </c>
      <c r="P396" s="67">
        <v>9654</v>
      </c>
      <c r="Q396" s="20">
        <f t="shared" si="114"/>
        <v>312720</v>
      </c>
      <c r="R396" s="23">
        <v>4901837</v>
      </c>
      <c r="S396" s="72">
        <f t="shared" si="115"/>
        <v>6.3796490988990456E-2</v>
      </c>
      <c r="T396" s="76">
        <v>2544873</v>
      </c>
      <c r="U396" s="2">
        <f t="shared" si="116"/>
        <v>2007</v>
      </c>
      <c r="V396" s="2">
        <f t="shared" si="117"/>
        <v>7</v>
      </c>
      <c r="W396" s="16">
        <f t="shared" si="81"/>
        <v>1549522</v>
      </c>
      <c r="X396" s="23">
        <v>1367356</v>
      </c>
      <c r="Y396" s="23">
        <v>156286</v>
      </c>
      <c r="Z396" s="23">
        <v>2588</v>
      </c>
      <c r="AA396" s="23">
        <v>1685</v>
      </c>
      <c r="AB396" s="23">
        <v>21586</v>
      </c>
      <c r="AC396" s="23">
        <v>5</v>
      </c>
      <c r="AD396" s="23">
        <v>16</v>
      </c>
      <c r="AE396" s="20">
        <f t="shared" si="77"/>
        <v>21</v>
      </c>
      <c r="AF396" s="20">
        <f t="shared" si="113"/>
        <v>1549501</v>
      </c>
    </row>
    <row r="397" spans="1:32">
      <c r="A397" s="2">
        <f t="shared" si="102"/>
        <v>2007</v>
      </c>
      <c r="B397" s="2">
        <f t="shared" si="85"/>
        <v>8</v>
      </c>
      <c r="C397" s="57">
        <f t="shared" si="48"/>
        <v>4865870</v>
      </c>
      <c r="D397" s="34">
        <v>2382297</v>
      </c>
      <c r="E397" s="34">
        <v>1247441</v>
      </c>
      <c r="F397" s="42">
        <v>345601</v>
      </c>
      <c r="G397" s="58">
        <v>86311</v>
      </c>
      <c r="H397" s="59">
        <f t="shared" si="49"/>
        <v>259290</v>
      </c>
      <c r="I397" s="41">
        <v>2331</v>
      </c>
      <c r="J397" s="41">
        <v>309475</v>
      </c>
      <c r="K397" s="41">
        <v>276067</v>
      </c>
      <c r="L397" s="41">
        <v>302658</v>
      </c>
      <c r="M397" s="67">
        <v>3230614</v>
      </c>
      <c r="N397" s="20">
        <f t="shared" si="118"/>
        <v>86359</v>
      </c>
      <c r="O397" s="20">
        <f t="shared" si="119"/>
        <v>4952229</v>
      </c>
      <c r="P397" s="67">
        <v>16720</v>
      </c>
      <c r="Q397" s="20">
        <f t="shared" si="114"/>
        <v>259839</v>
      </c>
      <c r="R397" s="23">
        <v>5228788</v>
      </c>
      <c r="S397" s="72">
        <f t="shared" si="115"/>
        <v>4.969392524615647E-2</v>
      </c>
      <c r="T397" s="76">
        <v>2537054</v>
      </c>
      <c r="U397" s="2">
        <f t="shared" si="116"/>
        <v>2007</v>
      </c>
      <c r="V397" s="2">
        <f t="shared" si="117"/>
        <v>8</v>
      </c>
      <c r="W397" s="16">
        <f t="shared" si="81"/>
        <v>1743101</v>
      </c>
      <c r="X397" s="23">
        <v>1544281</v>
      </c>
      <c r="Y397" s="23">
        <v>171056</v>
      </c>
      <c r="Z397" s="23">
        <v>2751</v>
      </c>
      <c r="AA397" s="23">
        <v>1688</v>
      </c>
      <c r="AB397" s="23">
        <v>23302</v>
      </c>
      <c r="AC397" s="23">
        <v>5</v>
      </c>
      <c r="AD397" s="23">
        <v>18</v>
      </c>
      <c r="AE397" s="20">
        <f t="shared" si="77"/>
        <v>23</v>
      </c>
      <c r="AF397" s="20">
        <f t="shared" si="113"/>
        <v>1743078</v>
      </c>
    </row>
    <row r="398" spans="1:32">
      <c r="A398" s="2">
        <f t="shared" si="102"/>
        <v>2007</v>
      </c>
      <c r="B398" s="2">
        <f t="shared" si="85"/>
        <v>9</v>
      </c>
      <c r="C398" s="57">
        <f t="shared" si="48"/>
        <v>4584208</v>
      </c>
      <c r="D398" s="34">
        <v>2102360</v>
      </c>
      <c r="E398" s="34">
        <v>1194072</v>
      </c>
      <c r="F398" s="42">
        <v>330292</v>
      </c>
      <c r="G398" s="58">
        <v>91939</v>
      </c>
      <c r="H398" s="59">
        <f t="shared" si="49"/>
        <v>238353</v>
      </c>
      <c r="I398" s="41">
        <v>2141</v>
      </c>
      <c r="J398" s="41">
        <v>327919</v>
      </c>
      <c r="K398" s="41">
        <v>307091</v>
      </c>
      <c r="L398" s="41">
        <v>320333</v>
      </c>
      <c r="M398" s="67">
        <v>2766309</v>
      </c>
      <c r="N398" s="20">
        <f t="shared" si="118"/>
        <v>-464305</v>
      </c>
      <c r="O398" s="20">
        <f t="shared" si="119"/>
        <v>4119903</v>
      </c>
      <c r="P398" s="67">
        <v>14173</v>
      </c>
      <c r="Q398" s="20">
        <f t="shared" si="114"/>
        <v>314099</v>
      </c>
      <c r="R398" s="23">
        <v>4448175</v>
      </c>
      <c r="S398" s="72">
        <f t="shared" si="115"/>
        <v>7.0613004209591573E-2</v>
      </c>
      <c r="T398" s="76">
        <v>2207672</v>
      </c>
      <c r="U398" s="2">
        <f t="shared" si="116"/>
        <v>2007</v>
      </c>
      <c r="V398" s="2">
        <f t="shared" si="117"/>
        <v>9</v>
      </c>
      <c r="W398" s="16">
        <f t="shared" si="81"/>
        <v>1562127</v>
      </c>
      <c r="X398" s="23">
        <v>1377525</v>
      </c>
      <c r="Y398" s="23">
        <v>158364</v>
      </c>
      <c r="Z398" s="23">
        <v>2626</v>
      </c>
      <c r="AA398" s="23">
        <v>1678</v>
      </c>
      <c r="AB398" s="23">
        <v>21912</v>
      </c>
      <c r="AC398" s="23">
        <v>5</v>
      </c>
      <c r="AD398" s="23">
        <v>17</v>
      </c>
      <c r="AE398" s="20">
        <f t="shared" si="77"/>
        <v>22</v>
      </c>
      <c r="AF398" s="20">
        <f t="shared" si="113"/>
        <v>1562105</v>
      </c>
    </row>
    <row r="399" spans="1:32">
      <c r="A399" s="2">
        <f t="shared" si="102"/>
        <v>2007</v>
      </c>
      <c r="B399" s="2">
        <f t="shared" si="85"/>
        <v>10</v>
      </c>
      <c r="C399" s="57">
        <f t="shared" si="48"/>
        <v>4181084</v>
      </c>
      <c r="D399" s="34">
        <v>1913594</v>
      </c>
      <c r="E399" s="34">
        <v>1099092</v>
      </c>
      <c r="F399" s="42">
        <v>301141</v>
      </c>
      <c r="G399" s="58">
        <v>74566</v>
      </c>
      <c r="H399" s="59">
        <f t="shared" si="49"/>
        <v>226575</v>
      </c>
      <c r="I399" s="58">
        <v>2191</v>
      </c>
      <c r="J399" s="41">
        <v>310265</v>
      </c>
      <c r="K399" s="41">
        <v>278542</v>
      </c>
      <c r="L399" s="41">
        <v>276259</v>
      </c>
      <c r="M399" s="67">
        <v>2613577</v>
      </c>
      <c r="N399" s="20">
        <f t="shared" si="118"/>
        <v>-152732</v>
      </c>
      <c r="O399" s="20">
        <f t="shared" si="119"/>
        <v>4028352</v>
      </c>
      <c r="P399" s="23">
        <v>17203</v>
      </c>
      <c r="Q399" s="20">
        <f t="shared" si="114"/>
        <v>196612</v>
      </c>
      <c r="R399" s="23">
        <v>4242167</v>
      </c>
      <c r="S399" s="72">
        <f t="shared" si="115"/>
        <v>4.6347067430395836E-2</v>
      </c>
      <c r="T399" s="60">
        <v>2093859</v>
      </c>
      <c r="U399" s="2">
        <f t="shared" si="116"/>
        <v>2007</v>
      </c>
      <c r="V399" s="2">
        <f t="shared" si="117"/>
        <v>10</v>
      </c>
      <c r="W399" s="16">
        <f t="shared" si="81"/>
        <v>1633279</v>
      </c>
      <c r="X399" s="23">
        <v>1443420</v>
      </c>
      <c r="Y399" s="23">
        <v>162833</v>
      </c>
      <c r="Z399" s="23">
        <v>2659</v>
      </c>
      <c r="AA399" s="23">
        <v>1668</v>
      </c>
      <c r="AB399" s="23">
        <v>22677</v>
      </c>
      <c r="AC399" s="23">
        <v>5</v>
      </c>
      <c r="AD399" s="23">
        <v>17</v>
      </c>
      <c r="AE399" s="20">
        <f t="shared" si="77"/>
        <v>22</v>
      </c>
      <c r="AF399" s="20">
        <f t="shared" si="113"/>
        <v>1633257</v>
      </c>
    </row>
    <row r="400" spans="1:32">
      <c r="A400" s="2">
        <f t="shared" si="102"/>
        <v>2007</v>
      </c>
      <c r="B400" s="2">
        <f t="shared" si="85"/>
        <v>11</v>
      </c>
      <c r="C400" s="57">
        <f t="shared" si="48"/>
        <v>3711810</v>
      </c>
      <c r="D400" s="34">
        <v>1543393</v>
      </c>
      <c r="E400" s="34">
        <v>1015823</v>
      </c>
      <c r="F400" s="42">
        <v>328105</v>
      </c>
      <c r="G400" s="58">
        <v>103936</v>
      </c>
      <c r="H400" s="59">
        <f t="shared" si="49"/>
        <v>224169</v>
      </c>
      <c r="I400" s="41">
        <v>2088</v>
      </c>
      <c r="J400" s="41">
        <v>298163</v>
      </c>
      <c r="K400" s="41">
        <v>259861</v>
      </c>
      <c r="L400" s="41">
        <v>264377</v>
      </c>
      <c r="M400" s="67">
        <v>2036126</v>
      </c>
      <c r="N400" s="20">
        <f t="shared" si="118"/>
        <v>-577451</v>
      </c>
      <c r="O400" s="20">
        <f t="shared" si="119"/>
        <v>3134359</v>
      </c>
      <c r="P400" s="23">
        <v>15914</v>
      </c>
      <c r="Q400" s="20">
        <f t="shared" ref="Q400:Q405" si="120">(R400-O400-P400)</f>
        <v>120154</v>
      </c>
      <c r="R400" s="23">
        <v>3270427</v>
      </c>
      <c r="S400" s="72">
        <f t="shared" si="115"/>
        <v>3.6739545019656455E-2</v>
      </c>
      <c r="T400" s="60">
        <v>1602379</v>
      </c>
      <c r="U400" s="2">
        <f t="shared" si="116"/>
        <v>2007</v>
      </c>
      <c r="V400" s="2">
        <f t="shared" si="117"/>
        <v>11</v>
      </c>
      <c r="W400" s="16">
        <f t="shared" si="81"/>
        <v>1710617</v>
      </c>
      <c r="X400" s="23">
        <v>1514795</v>
      </c>
      <c r="Y400" s="23">
        <v>168216</v>
      </c>
      <c r="Z400" s="23">
        <v>2704</v>
      </c>
      <c r="AA400" s="23">
        <v>1666</v>
      </c>
      <c r="AB400" s="23">
        <v>23214</v>
      </c>
      <c r="AC400" s="23">
        <v>5</v>
      </c>
      <c r="AD400" s="23">
        <v>17</v>
      </c>
      <c r="AE400" s="20">
        <f>SUM(AC400:AD400)</f>
        <v>22</v>
      </c>
      <c r="AF400" s="20">
        <f t="shared" si="113"/>
        <v>1710595</v>
      </c>
    </row>
    <row r="401" spans="1:32" s="26" customFormat="1">
      <c r="A401" s="26">
        <f t="shared" si="102"/>
        <v>2007</v>
      </c>
      <c r="B401" s="26">
        <f t="shared" si="85"/>
        <v>12</v>
      </c>
      <c r="C401" s="61">
        <f t="shared" si="48"/>
        <v>3308876</v>
      </c>
      <c r="D401" s="13">
        <v>1307845</v>
      </c>
      <c r="E401" s="13">
        <v>943652</v>
      </c>
      <c r="F401" s="44">
        <v>348570</v>
      </c>
      <c r="G401" s="62">
        <v>123246</v>
      </c>
      <c r="H401" s="63">
        <f t="shared" si="49"/>
        <v>225324</v>
      </c>
      <c r="I401" s="43">
        <v>2199</v>
      </c>
      <c r="J401" s="43">
        <v>265392</v>
      </c>
      <c r="K401" s="43">
        <v>208930</v>
      </c>
      <c r="L401" s="43">
        <v>232288</v>
      </c>
      <c r="M401" s="69">
        <v>1934996</v>
      </c>
      <c r="N401" s="47">
        <f t="shared" si="118"/>
        <v>-101130</v>
      </c>
      <c r="O401" s="47">
        <f t="shared" si="119"/>
        <v>3207746</v>
      </c>
      <c r="P401" s="33">
        <v>15896</v>
      </c>
      <c r="Q401" s="47">
        <f t="shared" si="120"/>
        <v>206807</v>
      </c>
      <c r="R401" s="33">
        <v>3430449</v>
      </c>
      <c r="S401" s="82">
        <f t="shared" si="115"/>
        <v>6.0285694379948511E-2</v>
      </c>
      <c r="T401" s="70">
        <v>1535336</v>
      </c>
      <c r="U401" s="26">
        <f t="shared" si="116"/>
        <v>2007</v>
      </c>
      <c r="V401" s="26">
        <f t="shared" si="117"/>
        <v>12</v>
      </c>
      <c r="W401" s="27">
        <f t="shared" si="81"/>
        <v>1638524</v>
      </c>
      <c r="X401" s="33">
        <v>1449195</v>
      </c>
      <c r="Y401" s="33">
        <v>162318</v>
      </c>
      <c r="Z401" s="33">
        <v>2637</v>
      </c>
      <c r="AA401" s="33">
        <v>1660</v>
      </c>
      <c r="AB401" s="33">
        <v>22692</v>
      </c>
      <c r="AC401" s="33">
        <v>5</v>
      </c>
      <c r="AD401" s="33">
        <v>17</v>
      </c>
      <c r="AE401" s="47">
        <f>SUM(AC401:AD401)</f>
        <v>22</v>
      </c>
      <c r="AF401" s="47">
        <f t="shared" si="113"/>
        <v>1638502</v>
      </c>
    </row>
    <row r="402" spans="1:32">
      <c r="A402" s="2">
        <f t="shared" si="102"/>
        <v>2008</v>
      </c>
      <c r="B402" s="2">
        <f t="shared" si="85"/>
        <v>1</v>
      </c>
      <c r="C402" s="57">
        <f t="shared" si="48"/>
        <v>3323217</v>
      </c>
      <c r="D402" s="34">
        <v>1456377</v>
      </c>
      <c r="E402" s="34">
        <v>914752</v>
      </c>
      <c r="F402" s="42">
        <v>284847</v>
      </c>
      <c r="G402" s="58">
        <v>96722</v>
      </c>
      <c r="H402" s="59">
        <f t="shared" si="49"/>
        <v>188125</v>
      </c>
      <c r="I402" s="41">
        <v>2171</v>
      </c>
      <c r="J402" s="41">
        <v>250358</v>
      </c>
      <c r="K402" s="41">
        <v>154943</v>
      </c>
      <c r="L402" s="41">
        <v>259769</v>
      </c>
      <c r="M402" s="67">
        <v>2133980</v>
      </c>
      <c r="N402" s="20">
        <f t="shared" ref="N402:N407" si="121">(M402-M401)</f>
        <v>198984</v>
      </c>
      <c r="O402" s="20">
        <f t="shared" ref="O402:O407" si="122">(C402+N402)</f>
        <v>3522201</v>
      </c>
      <c r="P402" s="67">
        <v>11939</v>
      </c>
      <c r="Q402" s="20">
        <f t="shared" si="120"/>
        <v>102952</v>
      </c>
      <c r="R402" s="23">
        <v>3637092</v>
      </c>
      <c r="S402" s="72">
        <f t="shared" si="115"/>
        <v>2.8306130282104495E-2</v>
      </c>
      <c r="T402" s="67">
        <v>1671542</v>
      </c>
      <c r="U402" s="2">
        <f t="shared" si="116"/>
        <v>2008</v>
      </c>
      <c r="V402" s="2">
        <f t="shared" si="117"/>
        <v>1</v>
      </c>
      <c r="W402" s="16">
        <f t="shared" si="81"/>
        <v>1631299</v>
      </c>
      <c r="X402" s="23">
        <v>1442333</v>
      </c>
      <c r="Y402" s="23">
        <v>161944</v>
      </c>
      <c r="Z402" s="23">
        <v>2630</v>
      </c>
      <c r="AA402" s="23">
        <v>1664</v>
      </c>
      <c r="AB402" s="23">
        <v>22705</v>
      </c>
      <c r="AC402" s="23">
        <v>6</v>
      </c>
      <c r="AD402" s="23">
        <v>17</v>
      </c>
      <c r="AE402" s="20">
        <f>SUM(AC402:AD402)</f>
        <v>23</v>
      </c>
      <c r="AF402" s="20">
        <f t="shared" si="113"/>
        <v>1631276</v>
      </c>
    </row>
    <row r="403" spans="1:32">
      <c r="A403" s="2">
        <f t="shared" si="102"/>
        <v>2008</v>
      </c>
      <c r="B403" s="2">
        <f t="shared" si="85"/>
        <v>2</v>
      </c>
      <c r="C403" s="57">
        <f t="shared" si="48"/>
        <v>3146871</v>
      </c>
      <c r="D403" s="34">
        <v>1301126</v>
      </c>
      <c r="E403" s="34">
        <v>873753</v>
      </c>
      <c r="F403" s="42">
        <v>271997</v>
      </c>
      <c r="G403" s="58">
        <v>66900</v>
      </c>
      <c r="H403" s="59">
        <f t="shared" si="49"/>
        <v>205097</v>
      </c>
      <c r="I403" s="41">
        <v>2168</v>
      </c>
      <c r="J403" s="41">
        <v>248934</v>
      </c>
      <c r="K403" s="41">
        <v>198328</v>
      </c>
      <c r="L403" s="41">
        <v>250565</v>
      </c>
      <c r="M403" s="67">
        <v>1980521</v>
      </c>
      <c r="N403" s="20">
        <f t="shared" si="121"/>
        <v>-153459</v>
      </c>
      <c r="O403" s="20">
        <f t="shared" si="122"/>
        <v>2993412</v>
      </c>
      <c r="P403" s="67">
        <v>13006</v>
      </c>
      <c r="Q403" s="20">
        <f t="shared" si="120"/>
        <v>244671</v>
      </c>
      <c r="R403" s="23">
        <v>3251089</v>
      </c>
      <c r="S403" s="72">
        <f t="shared" si="115"/>
        <v>7.525816734023584E-2</v>
      </c>
      <c r="T403" s="67">
        <v>1543422</v>
      </c>
      <c r="U403" s="2">
        <f t="shared" si="116"/>
        <v>2008</v>
      </c>
      <c r="V403" s="2">
        <f t="shared" si="117"/>
        <v>2</v>
      </c>
      <c r="W403" s="16">
        <f t="shared" si="81"/>
        <v>1656977</v>
      </c>
      <c r="X403" s="23">
        <v>1466010</v>
      </c>
      <c r="Y403" s="23">
        <v>163595</v>
      </c>
      <c r="Z403" s="23">
        <v>2624</v>
      </c>
      <c r="AA403" s="23">
        <v>1670</v>
      </c>
      <c r="AB403" s="23">
        <v>23055</v>
      </c>
      <c r="AC403" s="23">
        <v>6</v>
      </c>
      <c r="AD403" s="23">
        <v>17</v>
      </c>
      <c r="AE403" s="20">
        <f>SUM(AC403:AD403)</f>
        <v>23</v>
      </c>
      <c r="AF403" s="20">
        <f t="shared" si="113"/>
        <v>1656954</v>
      </c>
    </row>
    <row r="404" spans="1:32">
      <c r="A404" s="2">
        <f t="shared" si="102"/>
        <v>2008</v>
      </c>
      <c r="B404" s="2">
        <f t="shared" si="85"/>
        <v>3</v>
      </c>
      <c r="C404" s="57">
        <f t="shared" si="48"/>
        <v>3121354</v>
      </c>
      <c r="D404" s="34">
        <v>1247505</v>
      </c>
      <c r="E404" s="34">
        <v>871953</v>
      </c>
      <c r="F404" s="42">
        <v>308541</v>
      </c>
      <c r="G404" s="58">
        <v>99450</v>
      </c>
      <c r="H404" s="59">
        <f t="shared" si="49"/>
        <v>209091</v>
      </c>
      <c r="I404" s="41">
        <v>2286</v>
      </c>
      <c r="J404" s="41">
        <v>261128</v>
      </c>
      <c r="K404" s="41">
        <v>181835</v>
      </c>
      <c r="L404" s="41">
        <v>248106</v>
      </c>
      <c r="M404" s="71">
        <v>2154971</v>
      </c>
      <c r="N404" s="20">
        <f t="shared" si="121"/>
        <v>174450</v>
      </c>
      <c r="O404" s="20">
        <f t="shared" si="122"/>
        <v>3295804</v>
      </c>
      <c r="P404" s="71">
        <v>15657</v>
      </c>
      <c r="Q404" s="20">
        <f t="shared" si="120"/>
        <v>199450</v>
      </c>
      <c r="R404" s="23">
        <v>3510911</v>
      </c>
      <c r="S404" s="72">
        <f t="shared" ref="S404:S409" si="123">(Q404/R404)</f>
        <v>5.6808617478483502E-2</v>
      </c>
      <c r="T404" s="71">
        <v>1603771</v>
      </c>
      <c r="U404" s="2">
        <f t="shared" si="116"/>
        <v>2008</v>
      </c>
      <c r="V404" s="2">
        <f t="shared" si="117"/>
        <v>3</v>
      </c>
      <c r="W404" s="16">
        <f t="shared" ref="W404:W414" si="124">SUM(X404:AD404)</f>
        <v>1593042</v>
      </c>
      <c r="X404" s="23">
        <v>1406139</v>
      </c>
      <c r="Y404" s="23">
        <v>159688</v>
      </c>
      <c r="Z404" s="23">
        <v>2602</v>
      </c>
      <c r="AA404" s="23">
        <v>1666</v>
      </c>
      <c r="AB404" s="23">
        <v>22924</v>
      </c>
      <c r="AC404" s="23">
        <v>6</v>
      </c>
      <c r="AD404" s="23">
        <v>17</v>
      </c>
      <c r="AE404" s="20">
        <f>SUM(AC404:AD404)</f>
        <v>23</v>
      </c>
      <c r="AF404" s="20">
        <f t="shared" si="113"/>
        <v>1593019</v>
      </c>
    </row>
    <row r="405" spans="1:32">
      <c r="A405" s="2">
        <f t="shared" si="102"/>
        <v>2008</v>
      </c>
      <c r="B405" s="2">
        <f t="shared" si="85"/>
        <v>4</v>
      </c>
      <c r="C405" s="57">
        <f t="shared" ref="C405:C415" si="125">SUM(D405:F405,I405:L405)</f>
        <v>3404720</v>
      </c>
      <c r="D405" s="34">
        <v>1354417</v>
      </c>
      <c r="E405" s="34">
        <v>931639</v>
      </c>
      <c r="F405" s="42">
        <v>311450</v>
      </c>
      <c r="G405" s="58">
        <v>100141</v>
      </c>
      <c r="H405" s="59">
        <f t="shared" ref="H405:H414" si="126">(F405-G405)</f>
        <v>211309</v>
      </c>
      <c r="I405" s="41">
        <v>2195</v>
      </c>
      <c r="J405" s="41">
        <v>253011</v>
      </c>
      <c r="K405" s="41">
        <v>227037</v>
      </c>
      <c r="L405" s="41">
        <v>324971</v>
      </c>
      <c r="M405" s="67">
        <v>2466682</v>
      </c>
      <c r="N405" s="20">
        <f t="shared" si="121"/>
        <v>311711</v>
      </c>
      <c r="O405" s="20">
        <f t="shared" si="122"/>
        <v>3716431</v>
      </c>
      <c r="P405" s="67">
        <v>11389</v>
      </c>
      <c r="Q405" s="20">
        <f t="shared" si="120"/>
        <v>85474</v>
      </c>
      <c r="R405" s="23">
        <v>3813294</v>
      </c>
      <c r="S405" s="72">
        <f t="shared" si="123"/>
        <v>2.2414741690517437E-2</v>
      </c>
      <c r="T405" s="67">
        <v>1741179</v>
      </c>
      <c r="U405" s="2">
        <f t="shared" si="116"/>
        <v>2008</v>
      </c>
      <c r="V405" s="2">
        <f t="shared" si="117"/>
        <v>4</v>
      </c>
      <c r="W405" s="16">
        <f t="shared" si="124"/>
        <v>1668756</v>
      </c>
      <c r="X405" s="23">
        <v>1477927</v>
      </c>
      <c r="Y405" s="23">
        <v>163540</v>
      </c>
      <c r="Z405" s="23">
        <v>2591</v>
      </c>
      <c r="AA405" s="23">
        <v>1666</v>
      </c>
      <c r="AB405" s="23">
        <v>23008</v>
      </c>
      <c r="AC405" s="23">
        <v>6</v>
      </c>
      <c r="AD405" s="23">
        <v>18</v>
      </c>
      <c r="AE405" s="20">
        <f t="shared" ref="AE405:AE414" si="127">SUM(AC405:AD405)</f>
        <v>24</v>
      </c>
      <c r="AF405" s="20">
        <f t="shared" si="113"/>
        <v>1668732</v>
      </c>
    </row>
    <row r="406" spans="1:32">
      <c r="A406" s="2">
        <f t="shared" si="102"/>
        <v>2008</v>
      </c>
      <c r="B406" s="2">
        <f t="shared" si="85"/>
        <v>5</v>
      </c>
      <c r="C406" s="57">
        <f t="shared" si="125"/>
        <v>3776081</v>
      </c>
      <c r="D406" s="34">
        <v>1452026</v>
      </c>
      <c r="E406" s="34">
        <v>972963</v>
      </c>
      <c r="F406" s="42">
        <v>360809</v>
      </c>
      <c r="G406" s="58">
        <v>135813</v>
      </c>
      <c r="H406" s="59">
        <f t="shared" si="126"/>
        <v>224996</v>
      </c>
      <c r="I406" s="41">
        <v>2135</v>
      </c>
      <c r="J406" s="41">
        <v>271603</v>
      </c>
      <c r="K406" s="41">
        <v>419262</v>
      </c>
      <c r="L406" s="41">
        <v>297283</v>
      </c>
      <c r="M406" s="67">
        <v>2861004</v>
      </c>
      <c r="N406" s="20">
        <f t="shared" si="121"/>
        <v>394322</v>
      </c>
      <c r="O406" s="20">
        <f t="shared" si="122"/>
        <v>4170403</v>
      </c>
      <c r="P406" s="67">
        <v>10061</v>
      </c>
      <c r="Q406" s="20">
        <f t="shared" ref="Q406:Q411" si="128">(R406-O406-P406)</f>
        <v>239421</v>
      </c>
      <c r="R406" s="23">
        <v>4419885</v>
      </c>
      <c r="S406" s="72">
        <f t="shared" si="123"/>
        <v>5.4169056434726241E-2</v>
      </c>
      <c r="T406" s="67">
        <v>2209465</v>
      </c>
      <c r="U406" s="2">
        <f t="shared" si="116"/>
        <v>2008</v>
      </c>
      <c r="V406" s="2">
        <f t="shared" si="117"/>
        <v>5</v>
      </c>
      <c r="W406" s="16">
        <f t="shared" si="124"/>
        <v>1636739</v>
      </c>
      <c r="X406" s="23">
        <v>1446369</v>
      </c>
      <c r="Y406" s="23">
        <v>162865</v>
      </c>
      <c r="Z406" s="23">
        <v>2677</v>
      </c>
      <c r="AA406" s="23">
        <v>1653</v>
      </c>
      <c r="AB406" s="23">
        <v>23151</v>
      </c>
      <c r="AC406" s="23">
        <v>6</v>
      </c>
      <c r="AD406" s="23">
        <v>18</v>
      </c>
      <c r="AE406" s="20">
        <f t="shared" si="127"/>
        <v>24</v>
      </c>
      <c r="AF406" s="20">
        <f t="shared" si="113"/>
        <v>1636715</v>
      </c>
    </row>
    <row r="407" spans="1:32">
      <c r="A407" s="2">
        <f t="shared" si="102"/>
        <v>2008</v>
      </c>
      <c r="B407" s="2">
        <f t="shared" si="85"/>
        <v>6</v>
      </c>
      <c r="C407" s="57">
        <f t="shared" si="125"/>
        <v>4368440</v>
      </c>
      <c r="D407" s="34">
        <v>1948538</v>
      </c>
      <c r="E407" s="34">
        <v>1164204</v>
      </c>
      <c r="F407" s="42">
        <v>336404</v>
      </c>
      <c r="G407" s="58">
        <v>107751</v>
      </c>
      <c r="H407" s="59">
        <f t="shared" si="126"/>
        <v>228653</v>
      </c>
      <c r="I407" s="41">
        <v>2218</v>
      </c>
      <c r="J407" s="41">
        <v>268820</v>
      </c>
      <c r="K407" s="41">
        <v>310140</v>
      </c>
      <c r="L407" s="41">
        <v>338116</v>
      </c>
      <c r="M407" s="67">
        <v>2869895</v>
      </c>
      <c r="N407" s="20">
        <f t="shared" si="121"/>
        <v>8891</v>
      </c>
      <c r="O407" s="20">
        <f t="shared" si="122"/>
        <v>4377331</v>
      </c>
      <c r="P407" s="67">
        <v>8370</v>
      </c>
      <c r="Q407" s="20">
        <f t="shared" si="128"/>
        <v>242430</v>
      </c>
      <c r="R407" s="23">
        <v>4628131</v>
      </c>
      <c r="S407" s="72">
        <f t="shared" si="123"/>
        <v>5.2381836209908494E-2</v>
      </c>
      <c r="T407" s="67">
        <v>2231222</v>
      </c>
      <c r="U407" s="2">
        <f t="shared" si="116"/>
        <v>2008</v>
      </c>
      <c r="V407" s="2">
        <f t="shared" si="117"/>
        <v>6</v>
      </c>
      <c r="W407" s="16">
        <f t="shared" si="124"/>
        <v>1673654</v>
      </c>
      <c r="X407" s="23">
        <v>1481381</v>
      </c>
      <c r="Y407" s="23">
        <v>164831</v>
      </c>
      <c r="Z407" s="23">
        <v>2570</v>
      </c>
      <c r="AA407" s="23">
        <v>1652</v>
      </c>
      <c r="AB407" s="23">
        <v>23195</v>
      </c>
      <c r="AC407" s="23">
        <v>6</v>
      </c>
      <c r="AD407" s="23">
        <v>19</v>
      </c>
      <c r="AE407" s="20">
        <f t="shared" si="127"/>
        <v>25</v>
      </c>
      <c r="AF407" s="20">
        <f t="shared" si="113"/>
        <v>1673629</v>
      </c>
    </row>
    <row r="408" spans="1:32">
      <c r="A408" s="2">
        <f t="shared" si="102"/>
        <v>2008</v>
      </c>
      <c r="B408" s="2">
        <f t="shared" si="85"/>
        <v>7</v>
      </c>
      <c r="C408" s="57">
        <f t="shared" si="125"/>
        <v>4165227</v>
      </c>
      <c r="D408" s="34">
        <v>1830180</v>
      </c>
      <c r="E408" s="34">
        <v>1105846</v>
      </c>
      <c r="F408" s="42">
        <v>329327</v>
      </c>
      <c r="G408" s="58">
        <v>101792</v>
      </c>
      <c r="H408" s="59">
        <f t="shared" si="126"/>
        <v>227535</v>
      </c>
      <c r="I408" s="41">
        <v>2174</v>
      </c>
      <c r="J408" s="41">
        <v>273641</v>
      </c>
      <c r="K408" s="41">
        <v>298968</v>
      </c>
      <c r="L408" s="41">
        <v>325091</v>
      </c>
      <c r="M408" s="67">
        <v>3146308</v>
      </c>
      <c r="N408" s="20">
        <f t="shared" ref="N408:N414" si="129">(M408-M407)</f>
        <v>276413</v>
      </c>
      <c r="O408" s="20">
        <f t="shared" ref="O408:O414" si="130">(C408+N408)</f>
        <v>4441640</v>
      </c>
      <c r="P408" s="67">
        <v>10197</v>
      </c>
      <c r="Q408" s="20">
        <f t="shared" si="128"/>
        <v>271400</v>
      </c>
      <c r="R408" s="23">
        <v>4723237</v>
      </c>
      <c r="S408" s="72">
        <f t="shared" si="123"/>
        <v>5.7460593232988307E-2</v>
      </c>
      <c r="T408" s="67">
        <v>2458219</v>
      </c>
      <c r="U408" s="2">
        <f t="shared" si="116"/>
        <v>2008</v>
      </c>
      <c r="V408" s="2">
        <f t="shared" si="117"/>
        <v>7</v>
      </c>
      <c r="W408" s="16">
        <f t="shared" si="124"/>
        <v>1535494</v>
      </c>
      <c r="X408" s="23">
        <v>1354056</v>
      </c>
      <c r="Y408" s="23">
        <v>155026</v>
      </c>
      <c r="Z408" s="23">
        <v>2511</v>
      </c>
      <c r="AA408" s="23">
        <v>1641</v>
      </c>
      <c r="AB408" s="23">
        <v>22235</v>
      </c>
      <c r="AC408" s="23">
        <v>6</v>
      </c>
      <c r="AD408" s="23">
        <v>19</v>
      </c>
      <c r="AE408" s="20">
        <f t="shared" si="127"/>
        <v>25</v>
      </c>
      <c r="AF408" s="20">
        <f t="shared" si="113"/>
        <v>1535469</v>
      </c>
    </row>
    <row r="409" spans="1:32">
      <c r="A409" s="2">
        <f t="shared" si="102"/>
        <v>2008</v>
      </c>
      <c r="B409" s="2">
        <f t="shared" si="85"/>
        <v>8</v>
      </c>
      <c r="C409" s="57">
        <f t="shared" si="125"/>
        <v>4486059</v>
      </c>
      <c r="D409" s="34">
        <v>2027718</v>
      </c>
      <c r="E409" s="34">
        <v>1166826</v>
      </c>
      <c r="F409" s="42">
        <v>334687</v>
      </c>
      <c r="G409" s="58">
        <v>103172</v>
      </c>
      <c r="H409" s="59">
        <f t="shared" si="126"/>
        <v>231515</v>
      </c>
      <c r="I409" s="41">
        <v>2180</v>
      </c>
      <c r="J409" s="41">
        <v>287914</v>
      </c>
      <c r="K409" s="41">
        <v>330146</v>
      </c>
      <c r="L409" s="41">
        <v>336588</v>
      </c>
      <c r="M409" s="67">
        <v>3034411</v>
      </c>
      <c r="N409" s="20">
        <f t="shared" si="129"/>
        <v>-111897</v>
      </c>
      <c r="O409" s="20">
        <f t="shared" si="130"/>
        <v>4374162</v>
      </c>
      <c r="P409" s="67">
        <v>14230</v>
      </c>
      <c r="Q409" s="20">
        <f t="shared" si="128"/>
        <v>341934</v>
      </c>
      <c r="R409" s="23">
        <v>4730326</v>
      </c>
      <c r="S409" s="72">
        <f t="shared" si="123"/>
        <v>7.2285504212606072E-2</v>
      </c>
      <c r="T409" s="67">
        <v>2399668</v>
      </c>
      <c r="U409" s="2">
        <f t="shared" si="116"/>
        <v>2008</v>
      </c>
      <c r="V409" s="2">
        <f t="shared" si="117"/>
        <v>8</v>
      </c>
      <c r="W409" s="16">
        <f t="shared" si="124"/>
        <v>1646583</v>
      </c>
      <c r="X409" s="23">
        <v>1456247</v>
      </c>
      <c r="Y409" s="23">
        <v>162952</v>
      </c>
      <c r="Z409" s="23">
        <v>2590</v>
      </c>
      <c r="AA409" s="23">
        <v>1642</v>
      </c>
      <c r="AB409" s="23">
        <v>23127</v>
      </c>
      <c r="AC409" s="23">
        <v>6</v>
      </c>
      <c r="AD409" s="23">
        <v>19</v>
      </c>
      <c r="AE409" s="20">
        <f t="shared" si="127"/>
        <v>25</v>
      </c>
      <c r="AF409" s="20">
        <f t="shared" si="113"/>
        <v>1646558</v>
      </c>
    </row>
    <row r="410" spans="1:32">
      <c r="A410" s="2">
        <f t="shared" si="102"/>
        <v>2008</v>
      </c>
      <c r="B410" s="2">
        <f t="shared" si="85"/>
        <v>9</v>
      </c>
      <c r="C410" s="57">
        <f t="shared" si="125"/>
        <v>4761821</v>
      </c>
      <c r="D410" s="34">
        <v>2235722</v>
      </c>
      <c r="E410" s="34">
        <v>1250019</v>
      </c>
      <c r="F410" s="42">
        <v>316943</v>
      </c>
      <c r="G410" s="58">
        <v>86620</v>
      </c>
      <c r="H410" s="59">
        <f t="shared" si="126"/>
        <v>230323</v>
      </c>
      <c r="I410" s="41">
        <v>2171</v>
      </c>
      <c r="J410" s="41">
        <v>332766</v>
      </c>
      <c r="K410" s="41">
        <v>279985</v>
      </c>
      <c r="L410" s="41">
        <v>344215</v>
      </c>
      <c r="M410" s="67">
        <v>2685739</v>
      </c>
      <c r="N410" s="20">
        <f t="shared" si="129"/>
        <v>-348672</v>
      </c>
      <c r="O410" s="20">
        <f t="shared" si="130"/>
        <v>4413149</v>
      </c>
      <c r="P410" s="67">
        <v>11075</v>
      </c>
      <c r="Q410" s="20">
        <f t="shared" si="128"/>
        <v>150520</v>
      </c>
      <c r="R410" s="23">
        <v>4574744</v>
      </c>
      <c r="S410" s="72">
        <f t="shared" ref="S410:S415" si="131">(Q410/R410)</f>
        <v>3.2902387543434122E-2</v>
      </c>
      <c r="T410" s="67">
        <v>2026901</v>
      </c>
      <c r="U410" s="2">
        <f t="shared" si="116"/>
        <v>2008</v>
      </c>
      <c r="V410" s="2">
        <f t="shared" si="117"/>
        <v>9</v>
      </c>
      <c r="W410" s="16">
        <f t="shared" si="124"/>
        <v>1722186</v>
      </c>
      <c r="X410" s="23">
        <v>1523982</v>
      </c>
      <c r="Y410" s="23">
        <v>170052</v>
      </c>
      <c r="Z410" s="23">
        <v>2630</v>
      </c>
      <c r="AA410" s="23">
        <v>1651</v>
      </c>
      <c r="AB410" s="23">
        <v>23846</v>
      </c>
      <c r="AC410" s="23">
        <v>6</v>
      </c>
      <c r="AD410" s="23">
        <v>19</v>
      </c>
      <c r="AE410" s="20">
        <f t="shared" si="127"/>
        <v>25</v>
      </c>
      <c r="AF410" s="20">
        <f t="shared" si="113"/>
        <v>1722161</v>
      </c>
    </row>
    <row r="411" spans="1:32">
      <c r="A411" s="2">
        <f t="shared" si="102"/>
        <v>2008</v>
      </c>
      <c r="B411" s="2">
        <f t="shared" si="85"/>
        <v>10</v>
      </c>
      <c r="C411" s="57">
        <f t="shared" si="125"/>
        <v>3947584</v>
      </c>
      <c r="D411" s="34">
        <v>1641316</v>
      </c>
      <c r="E411" s="34">
        <v>1028182</v>
      </c>
      <c r="F411" s="42">
        <v>335901</v>
      </c>
      <c r="G411" s="58">
        <v>128534</v>
      </c>
      <c r="H411" s="59">
        <f t="shared" si="126"/>
        <v>207367</v>
      </c>
      <c r="I411" s="58">
        <v>2176</v>
      </c>
      <c r="J411" s="41">
        <v>292725</v>
      </c>
      <c r="K411" s="41">
        <v>274259</v>
      </c>
      <c r="L411" s="41">
        <v>373025</v>
      </c>
      <c r="M411" s="67">
        <v>2199396</v>
      </c>
      <c r="N411" s="20">
        <f t="shared" si="129"/>
        <v>-486343</v>
      </c>
      <c r="O411" s="20">
        <f t="shared" si="130"/>
        <v>3461241</v>
      </c>
      <c r="P411" s="67">
        <v>12546</v>
      </c>
      <c r="Q411" s="20">
        <f t="shared" si="128"/>
        <v>306390</v>
      </c>
      <c r="R411" s="23">
        <v>3780177</v>
      </c>
      <c r="S411" s="72">
        <f t="shared" si="131"/>
        <v>8.1051760274717291E-2</v>
      </c>
      <c r="T411" s="67">
        <v>1778175</v>
      </c>
      <c r="U411" s="2">
        <f t="shared" si="116"/>
        <v>2008</v>
      </c>
      <c r="V411" s="2">
        <f t="shared" si="117"/>
        <v>10</v>
      </c>
      <c r="W411" s="16">
        <f t="shared" si="124"/>
        <v>1566266</v>
      </c>
      <c r="X411" s="23">
        <v>1382150</v>
      </c>
      <c r="Y411" s="23">
        <v>157338</v>
      </c>
      <c r="Z411" s="23">
        <v>2509</v>
      </c>
      <c r="AA411" s="23">
        <v>1635</v>
      </c>
      <c r="AB411" s="23">
        <v>22609</v>
      </c>
      <c r="AC411" s="23">
        <v>6</v>
      </c>
      <c r="AD411" s="23">
        <v>19</v>
      </c>
      <c r="AE411" s="20">
        <f t="shared" si="127"/>
        <v>25</v>
      </c>
      <c r="AF411" s="20">
        <f t="shared" si="113"/>
        <v>1566241</v>
      </c>
    </row>
    <row r="412" spans="1:32">
      <c r="A412" s="2">
        <f t="shared" si="102"/>
        <v>2008</v>
      </c>
      <c r="B412" s="2">
        <f t="shared" si="85"/>
        <v>11</v>
      </c>
      <c r="C412" s="57">
        <f t="shared" si="125"/>
        <v>3495318</v>
      </c>
      <c r="D412" s="34">
        <v>1399229</v>
      </c>
      <c r="E412" s="34">
        <v>981596</v>
      </c>
      <c r="F412" s="42">
        <v>381573</v>
      </c>
      <c r="G412" s="58">
        <v>145191</v>
      </c>
      <c r="H412" s="59">
        <f t="shared" si="126"/>
        <v>236382</v>
      </c>
      <c r="I412" s="41">
        <v>2211</v>
      </c>
      <c r="J412" s="41">
        <v>301981</v>
      </c>
      <c r="K412" s="41">
        <v>124298</v>
      </c>
      <c r="L412" s="41">
        <v>304430</v>
      </c>
      <c r="M412" s="67">
        <v>1864877</v>
      </c>
      <c r="N412" s="20">
        <f t="shared" si="129"/>
        <v>-334519</v>
      </c>
      <c r="O412" s="20">
        <f t="shared" si="130"/>
        <v>3160799</v>
      </c>
      <c r="P412" s="67">
        <v>12883</v>
      </c>
      <c r="Q412" s="20">
        <f t="shared" ref="Q412:Q417" si="132">(R412-O412-P412)</f>
        <v>103883</v>
      </c>
      <c r="R412" s="23">
        <v>3277565</v>
      </c>
      <c r="S412" s="72">
        <f t="shared" si="131"/>
        <v>3.1695176144485311E-2</v>
      </c>
      <c r="T412" s="67">
        <v>1448500</v>
      </c>
      <c r="U412" s="2">
        <f t="shared" si="116"/>
        <v>2008</v>
      </c>
      <c r="V412" s="2">
        <f t="shared" si="117"/>
        <v>11</v>
      </c>
      <c r="W412" s="16">
        <f t="shared" si="124"/>
        <v>1699448</v>
      </c>
      <c r="X412" s="23">
        <v>1502965</v>
      </c>
      <c r="Y412" s="23">
        <v>168291</v>
      </c>
      <c r="Z412" s="23">
        <v>2641</v>
      </c>
      <c r="AA412" s="23">
        <v>1648</v>
      </c>
      <c r="AB412" s="23">
        <v>23879</v>
      </c>
      <c r="AC412" s="23">
        <v>5</v>
      </c>
      <c r="AD412" s="23">
        <v>19</v>
      </c>
      <c r="AE412" s="20">
        <f t="shared" si="127"/>
        <v>24</v>
      </c>
      <c r="AF412" s="20">
        <f t="shared" si="113"/>
        <v>1699424</v>
      </c>
    </row>
    <row r="413" spans="1:32" s="26" customFormat="1">
      <c r="A413" s="26">
        <f t="shared" si="102"/>
        <v>2008</v>
      </c>
      <c r="B413" s="26">
        <f t="shared" si="85"/>
        <v>12</v>
      </c>
      <c r="C413" s="61">
        <f t="shared" si="125"/>
        <v>3178491</v>
      </c>
      <c r="D413" s="13">
        <v>1434253</v>
      </c>
      <c r="E413" s="13">
        <v>877192</v>
      </c>
      <c r="F413" s="44">
        <v>213817</v>
      </c>
      <c r="G413" s="62">
        <v>61417</v>
      </c>
      <c r="H413" s="63">
        <f t="shared" si="126"/>
        <v>152400</v>
      </c>
      <c r="I413" s="43">
        <v>2185</v>
      </c>
      <c r="J413" s="43">
        <v>232932</v>
      </c>
      <c r="K413" s="43">
        <v>146384</v>
      </c>
      <c r="L413" s="43">
        <v>271728</v>
      </c>
      <c r="M413" s="69">
        <v>1811502</v>
      </c>
      <c r="N413" s="47">
        <f t="shared" si="129"/>
        <v>-53375</v>
      </c>
      <c r="O413" s="47">
        <f t="shared" si="130"/>
        <v>3125116</v>
      </c>
      <c r="P413" s="69">
        <v>12179</v>
      </c>
      <c r="Q413" s="47">
        <f t="shared" si="132"/>
        <v>174395</v>
      </c>
      <c r="R413" s="33">
        <v>3311690</v>
      </c>
      <c r="S413" s="82">
        <f t="shared" si="131"/>
        <v>5.2660424133901422E-2</v>
      </c>
      <c r="T413" s="69">
        <v>1435567</v>
      </c>
      <c r="U413" s="26">
        <f t="shared" si="116"/>
        <v>2008</v>
      </c>
      <c r="V413" s="26">
        <f t="shared" si="117"/>
        <v>12</v>
      </c>
      <c r="W413" s="27">
        <f t="shared" si="124"/>
        <v>1636773</v>
      </c>
      <c r="X413" s="33">
        <v>1448933</v>
      </c>
      <c r="Y413" s="33">
        <v>160701</v>
      </c>
      <c r="Z413" s="33">
        <v>2470</v>
      </c>
      <c r="AA413" s="33">
        <v>1636</v>
      </c>
      <c r="AB413" s="33">
        <v>23009</v>
      </c>
      <c r="AC413" s="33">
        <v>5</v>
      </c>
      <c r="AD413" s="33">
        <v>19</v>
      </c>
      <c r="AE413" s="47">
        <f t="shared" si="127"/>
        <v>24</v>
      </c>
      <c r="AF413" s="47">
        <f t="shared" si="113"/>
        <v>1636749</v>
      </c>
    </row>
    <row r="414" spans="1:32">
      <c r="A414" s="2">
        <f t="shared" si="102"/>
        <v>2009</v>
      </c>
      <c r="B414" s="2">
        <f t="shared" si="85"/>
        <v>1</v>
      </c>
      <c r="C414" s="57">
        <f t="shared" si="125"/>
        <v>3164394</v>
      </c>
      <c r="D414" s="34">
        <v>1376272</v>
      </c>
      <c r="E414" s="34">
        <v>884071</v>
      </c>
      <c r="F414" s="34">
        <v>271809</v>
      </c>
      <c r="G414" s="34">
        <v>99244</v>
      </c>
      <c r="H414" s="59">
        <f t="shared" si="126"/>
        <v>172565</v>
      </c>
      <c r="I414" s="41">
        <v>2207</v>
      </c>
      <c r="J414" s="41">
        <v>245271</v>
      </c>
      <c r="K414" s="41">
        <v>118939</v>
      </c>
      <c r="L414" s="41">
        <v>265825</v>
      </c>
      <c r="M414" s="67">
        <v>2032633</v>
      </c>
      <c r="N414" s="20">
        <f t="shared" si="129"/>
        <v>221131</v>
      </c>
      <c r="O414" s="20">
        <f t="shared" si="130"/>
        <v>3385525</v>
      </c>
      <c r="P414" s="67">
        <v>11395</v>
      </c>
      <c r="Q414" s="20">
        <f t="shared" si="132"/>
        <v>200828</v>
      </c>
      <c r="R414" s="67">
        <v>3597748</v>
      </c>
      <c r="S414" s="72">
        <f t="shared" si="131"/>
        <v>5.5820474363407334E-2</v>
      </c>
      <c r="T414" s="67">
        <v>1579999</v>
      </c>
      <c r="U414" s="2">
        <f t="shared" si="116"/>
        <v>2009</v>
      </c>
      <c r="V414" s="2">
        <f t="shared" si="117"/>
        <v>1</v>
      </c>
      <c r="W414" s="16">
        <f t="shared" si="124"/>
        <v>1616278</v>
      </c>
      <c r="X414" s="67">
        <v>1427104</v>
      </c>
      <c r="Y414" s="67">
        <v>161720</v>
      </c>
      <c r="Z414" s="67">
        <v>2515</v>
      </c>
      <c r="AA414" s="67">
        <v>1642</v>
      </c>
      <c r="AB414" s="67">
        <v>23273</v>
      </c>
      <c r="AC414" s="67">
        <v>5</v>
      </c>
      <c r="AD414" s="67">
        <v>19</v>
      </c>
      <c r="AE414" s="20">
        <f t="shared" si="127"/>
        <v>24</v>
      </c>
      <c r="AF414" s="20">
        <f t="shared" si="113"/>
        <v>1616254</v>
      </c>
    </row>
    <row r="415" spans="1:32">
      <c r="A415" s="2">
        <f t="shared" si="102"/>
        <v>2009</v>
      </c>
      <c r="B415" s="2">
        <f t="shared" si="85"/>
        <v>2</v>
      </c>
      <c r="C415" s="57">
        <f t="shared" si="125"/>
        <v>3397329</v>
      </c>
      <c r="D415" s="34">
        <v>1618774</v>
      </c>
      <c r="E415" s="34">
        <v>825540</v>
      </c>
      <c r="F415" s="34">
        <v>254392</v>
      </c>
      <c r="G415" s="34">
        <v>77376</v>
      </c>
      <c r="H415" s="59">
        <f t="shared" ref="H415:H420" si="133">(F415-G415)</f>
        <v>177016</v>
      </c>
      <c r="I415" s="41">
        <v>2143</v>
      </c>
      <c r="J415" s="41">
        <v>243727</v>
      </c>
      <c r="K415" s="41">
        <v>191142</v>
      </c>
      <c r="L415" s="41">
        <v>261611</v>
      </c>
      <c r="M415" s="67">
        <v>1603675</v>
      </c>
      <c r="N415" s="20">
        <f t="shared" ref="N415:N420" si="134">(M415-M414)</f>
        <v>-428958</v>
      </c>
      <c r="O415" s="20">
        <f t="shared" ref="O415:O420" si="135">(C415+N415)</f>
        <v>2968371</v>
      </c>
      <c r="P415" s="67">
        <v>12070</v>
      </c>
      <c r="Q415" s="20">
        <f t="shared" si="132"/>
        <v>194292</v>
      </c>
      <c r="R415" s="67">
        <v>3174733</v>
      </c>
      <c r="S415" s="72">
        <f t="shared" si="131"/>
        <v>6.1199477247377967E-2</v>
      </c>
      <c r="T415" s="67">
        <v>1292931</v>
      </c>
      <c r="U415" s="2">
        <f t="shared" si="116"/>
        <v>2009</v>
      </c>
      <c r="V415" s="2">
        <f t="shared" si="117"/>
        <v>2</v>
      </c>
      <c r="W415" s="16">
        <f t="shared" ref="W415:W420" si="136">SUM(X415:AD415)</f>
        <v>1659387</v>
      </c>
      <c r="X415" s="67">
        <v>1469790</v>
      </c>
      <c r="Y415" s="67">
        <v>162263</v>
      </c>
      <c r="Z415" s="67">
        <v>2500</v>
      </c>
      <c r="AA415" s="67">
        <v>1651</v>
      </c>
      <c r="AB415" s="67">
        <v>23159</v>
      </c>
      <c r="AC415" s="67">
        <v>5</v>
      </c>
      <c r="AD415" s="67">
        <v>19</v>
      </c>
      <c r="AE415" s="20">
        <f t="shared" ref="AE415:AE420" si="137">SUM(AC415:AD415)</f>
        <v>24</v>
      </c>
      <c r="AF415" s="20">
        <f t="shared" si="113"/>
        <v>1659363</v>
      </c>
    </row>
    <row r="416" spans="1:32">
      <c r="A416" s="2">
        <f t="shared" si="102"/>
        <v>2009</v>
      </c>
      <c r="B416" s="2">
        <f t="shared" ref="B416:B473" si="138">B404</f>
        <v>3</v>
      </c>
      <c r="C416" s="57">
        <f t="shared" ref="C416:C421" si="139">SUM(D416:F416,I416:L416)</f>
        <v>2948087</v>
      </c>
      <c r="D416" s="34">
        <v>1291802</v>
      </c>
      <c r="E416" s="34">
        <v>844403</v>
      </c>
      <c r="F416" s="34">
        <v>264504</v>
      </c>
      <c r="G416" s="34">
        <v>91474</v>
      </c>
      <c r="H416" s="59">
        <f t="shared" si="133"/>
        <v>173030</v>
      </c>
      <c r="I416" s="41">
        <v>2202</v>
      </c>
      <c r="J416" s="41">
        <v>236832</v>
      </c>
      <c r="K416" s="41">
        <v>138885</v>
      </c>
      <c r="L416" s="41">
        <v>169459</v>
      </c>
      <c r="M416" s="71">
        <v>1641327</v>
      </c>
      <c r="N416" s="20">
        <f t="shared" si="134"/>
        <v>37652</v>
      </c>
      <c r="O416" s="20">
        <f t="shared" si="135"/>
        <v>2985739</v>
      </c>
      <c r="P416" s="71">
        <v>20213</v>
      </c>
      <c r="Q416" s="20">
        <f t="shared" si="132"/>
        <v>140723</v>
      </c>
      <c r="R416" s="67">
        <v>3146675</v>
      </c>
      <c r="S416" s="72">
        <f t="shared" ref="S416:S421" si="140">(Q416/R416)</f>
        <v>4.4721173937569018E-2</v>
      </c>
      <c r="T416" s="67">
        <v>1420674</v>
      </c>
      <c r="U416" s="2">
        <f t="shared" si="116"/>
        <v>2009</v>
      </c>
      <c r="V416" s="2">
        <f t="shared" si="117"/>
        <v>3</v>
      </c>
      <c r="W416" s="16">
        <f t="shared" si="136"/>
        <v>1618682</v>
      </c>
      <c r="X416" s="67">
        <v>1431072</v>
      </c>
      <c r="Y416" s="67">
        <v>160340</v>
      </c>
      <c r="Z416" s="67">
        <v>2458</v>
      </c>
      <c r="AA416" s="67">
        <v>1631</v>
      </c>
      <c r="AB416" s="67">
        <v>23157</v>
      </c>
      <c r="AC416" s="67">
        <v>5</v>
      </c>
      <c r="AD416" s="67">
        <v>19</v>
      </c>
      <c r="AE416" s="20">
        <f t="shared" si="137"/>
        <v>24</v>
      </c>
      <c r="AF416" s="20">
        <f t="shared" si="113"/>
        <v>1618658</v>
      </c>
    </row>
    <row r="417" spans="1:32">
      <c r="A417" s="2">
        <f t="shared" si="102"/>
        <v>2009</v>
      </c>
      <c r="B417" s="2">
        <f t="shared" si="138"/>
        <v>4</v>
      </c>
      <c r="C417" s="57">
        <f t="shared" si="139"/>
        <v>2907926</v>
      </c>
      <c r="D417" s="34">
        <v>1224077</v>
      </c>
      <c r="E417" s="34">
        <v>921919</v>
      </c>
      <c r="F417" s="34">
        <v>279133</v>
      </c>
      <c r="G417" s="34">
        <v>95268</v>
      </c>
      <c r="H417" s="59">
        <f t="shared" si="133"/>
        <v>183865</v>
      </c>
      <c r="I417" s="41">
        <v>2165</v>
      </c>
      <c r="J417" s="41">
        <v>252886</v>
      </c>
      <c r="K417" s="41">
        <v>72868</v>
      </c>
      <c r="L417" s="41">
        <v>154878</v>
      </c>
      <c r="M417" s="67">
        <v>1693878</v>
      </c>
      <c r="N417" s="20">
        <f t="shared" si="134"/>
        <v>52551</v>
      </c>
      <c r="O417" s="20">
        <f t="shared" si="135"/>
        <v>2960477</v>
      </c>
      <c r="P417" s="67">
        <v>9909</v>
      </c>
      <c r="Q417" s="20">
        <f t="shared" si="132"/>
        <v>160219</v>
      </c>
      <c r="R417" s="67">
        <v>3130605</v>
      </c>
      <c r="S417" s="72">
        <f t="shared" si="140"/>
        <v>5.1178286625109204E-2</v>
      </c>
      <c r="T417" s="67">
        <v>1483812</v>
      </c>
      <c r="U417" s="2">
        <f t="shared" si="116"/>
        <v>2009</v>
      </c>
      <c r="V417" s="2">
        <f t="shared" si="117"/>
        <v>4</v>
      </c>
      <c r="W417" s="16">
        <f t="shared" si="136"/>
        <v>1609186</v>
      </c>
      <c r="X417" s="67">
        <v>1420220</v>
      </c>
      <c r="Y417" s="67">
        <v>161346</v>
      </c>
      <c r="Z417" s="67">
        <v>2534</v>
      </c>
      <c r="AA417" s="67">
        <v>1625</v>
      </c>
      <c r="AB417" s="67">
        <v>23437</v>
      </c>
      <c r="AC417" s="67">
        <v>5</v>
      </c>
      <c r="AD417" s="67">
        <v>19</v>
      </c>
      <c r="AE417" s="20">
        <f t="shared" si="137"/>
        <v>24</v>
      </c>
      <c r="AF417" s="20">
        <f t="shared" si="113"/>
        <v>1609162</v>
      </c>
    </row>
    <row r="418" spans="1:32">
      <c r="A418" s="2">
        <f t="shared" si="102"/>
        <v>2009</v>
      </c>
      <c r="B418" s="2">
        <f t="shared" si="138"/>
        <v>5</v>
      </c>
      <c r="C418" s="57">
        <f t="shared" si="139"/>
        <v>3192002</v>
      </c>
      <c r="D418" s="34">
        <v>1462910</v>
      </c>
      <c r="E418" s="34">
        <v>970271</v>
      </c>
      <c r="F418" s="34">
        <v>271886</v>
      </c>
      <c r="G418" s="34">
        <v>88208</v>
      </c>
      <c r="H418" s="59">
        <f t="shared" si="133"/>
        <v>183678</v>
      </c>
      <c r="I418" s="41">
        <v>2140</v>
      </c>
      <c r="J418" s="41">
        <v>261537</v>
      </c>
      <c r="K418" s="41">
        <v>37897</v>
      </c>
      <c r="L418" s="41">
        <v>185361</v>
      </c>
      <c r="M418" s="67">
        <v>2118867</v>
      </c>
      <c r="N418" s="20">
        <f t="shared" si="134"/>
        <v>424989</v>
      </c>
      <c r="O418" s="20">
        <f t="shared" si="135"/>
        <v>3616991</v>
      </c>
      <c r="P418" s="67">
        <v>11085</v>
      </c>
      <c r="Q418" s="20">
        <f t="shared" ref="Q418:Q423" si="141">(R418-O418-P418)</f>
        <v>193799</v>
      </c>
      <c r="R418" s="67">
        <v>3821875</v>
      </c>
      <c r="S418" s="72">
        <f t="shared" si="140"/>
        <v>5.0707833197056421E-2</v>
      </c>
      <c r="T418" s="67">
        <v>1849134</v>
      </c>
      <c r="U418" s="2">
        <f t="shared" si="116"/>
        <v>2009</v>
      </c>
      <c r="V418" s="2">
        <f t="shared" si="117"/>
        <v>5</v>
      </c>
      <c r="W418" s="16">
        <f t="shared" si="136"/>
        <v>1617151</v>
      </c>
      <c r="X418" s="67">
        <v>1430327</v>
      </c>
      <c r="Y418" s="67">
        <v>159537</v>
      </c>
      <c r="Z418" s="67">
        <v>2485</v>
      </c>
      <c r="AA418" s="67">
        <v>1622</v>
      </c>
      <c r="AB418" s="67">
        <v>23156</v>
      </c>
      <c r="AC418" s="67">
        <v>5</v>
      </c>
      <c r="AD418" s="67">
        <v>19</v>
      </c>
      <c r="AE418" s="20">
        <f t="shared" si="137"/>
        <v>24</v>
      </c>
      <c r="AF418" s="20">
        <f t="shared" si="113"/>
        <v>1617127</v>
      </c>
    </row>
    <row r="419" spans="1:32">
      <c r="A419" s="2">
        <f t="shared" si="102"/>
        <v>2009</v>
      </c>
      <c r="B419" s="2">
        <f t="shared" si="138"/>
        <v>6</v>
      </c>
      <c r="C419" s="57">
        <f t="shared" si="139"/>
        <v>3727343</v>
      </c>
      <c r="D419" s="34">
        <v>1821182</v>
      </c>
      <c r="E419" s="34">
        <v>1056018</v>
      </c>
      <c r="F419" s="34">
        <v>280646</v>
      </c>
      <c r="G419" s="34">
        <v>90738</v>
      </c>
      <c r="H419" s="59">
        <f t="shared" si="133"/>
        <v>189908</v>
      </c>
      <c r="I419" s="41">
        <v>2148</v>
      </c>
      <c r="J419" s="41">
        <v>283932</v>
      </c>
      <c r="K419" s="41">
        <v>77013</v>
      </c>
      <c r="L419" s="41">
        <v>206404</v>
      </c>
      <c r="M419" s="67">
        <v>2494291</v>
      </c>
      <c r="N419" s="20">
        <f t="shared" si="134"/>
        <v>375424</v>
      </c>
      <c r="O419" s="20">
        <f t="shared" si="135"/>
        <v>4102767</v>
      </c>
      <c r="P419" s="67">
        <v>10268</v>
      </c>
      <c r="Q419" s="20">
        <f t="shared" si="141"/>
        <v>264755</v>
      </c>
      <c r="R419" s="67">
        <v>4377790</v>
      </c>
      <c r="S419" s="72">
        <f t="shared" si="140"/>
        <v>6.047686161282291E-2</v>
      </c>
      <c r="T419" s="67">
        <v>2123952</v>
      </c>
      <c r="U419" s="2">
        <f t="shared" si="116"/>
        <v>2009</v>
      </c>
      <c r="V419" s="2">
        <f t="shared" si="117"/>
        <v>6</v>
      </c>
      <c r="W419" s="16">
        <f t="shared" si="136"/>
        <v>1663199</v>
      </c>
      <c r="X419" s="67">
        <v>1472777</v>
      </c>
      <c r="Y419" s="67">
        <v>162803</v>
      </c>
      <c r="Z419" s="67">
        <v>2465</v>
      </c>
      <c r="AA419" s="67">
        <v>1617</v>
      </c>
      <c r="AB419" s="67">
        <v>23513</v>
      </c>
      <c r="AC419" s="67">
        <v>6</v>
      </c>
      <c r="AD419" s="67">
        <v>18</v>
      </c>
      <c r="AE419" s="20">
        <f t="shared" si="137"/>
        <v>24</v>
      </c>
      <c r="AF419" s="20">
        <f t="shared" si="113"/>
        <v>1663175</v>
      </c>
    </row>
    <row r="420" spans="1:32">
      <c r="A420" s="2">
        <f t="shared" si="102"/>
        <v>2009</v>
      </c>
      <c r="B420" s="2">
        <f t="shared" si="138"/>
        <v>7</v>
      </c>
      <c r="C420" s="57">
        <f t="shared" si="139"/>
        <v>4164893</v>
      </c>
      <c r="D420" s="34">
        <v>2046571</v>
      </c>
      <c r="E420" s="34">
        <v>1160785</v>
      </c>
      <c r="F420" s="34">
        <v>292424</v>
      </c>
      <c r="G420" s="34">
        <v>93511</v>
      </c>
      <c r="H420" s="59">
        <f t="shared" si="133"/>
        <v>198913</v>
      </c>
      <c r="I420" s="41">
        <v>2166</v>
      </c>
      <c r="J420" s="41">
        <v>282035</v>
      </c>
      <c r="K420" s="41">
        <v>130237</v>
      </c>
      <c r="L420" s="41">
        <v>250675</v>
      </c>
      <c r="M420" s="67">
        <v>2529667</v>
      </c>
      <c r="N420" s="20">
        <f t="shared" si="134"/>
        <v>35376</v>
      </c>
      <c r="O420" s="20">
        <f t="shared" si="135"/>
        <v>4200269</v>
      </c>
      <c r="P420" s="67">
        <v>10729</v>
      </c>
      <c r="Q420" s="20">
        <f t="shared" si="141"/>
        <v>238991</v>
      </c>
      <c r="R420" s="67">
        <v>4449989</v>
      </c>
      <c r="S420" s="72">
        <f t="shared" si="140"/>
        <v>5.370597545297303E-2</v>
      </c>
      <c r="T420" s="67">
        <v>2175775</v>
      </c>
      <c r="U420" s="2">
        <f t="shared" si="116"/>
        <v>2009</v>
      </c>
      <c r="V420" s="2">
        <f t="shared" si="117"/>
        <v>7</v>
      </c>
      <c r="W420" s="16">
        <f t="shared" si="136"/>
        <v>1627840</v>
      </c>
      <c r="X420" s="67">
        <v>1437857</v>
      </c>
      <c r="Y420" s="67">
        <v>162340</v>
      </c>
      <c r="Z420" s="67">
        <v>2524</v>
      </c>
      <c r="AA420" s="67">
        <v>1618</v>
      </c>
      <c r="AB420" s="67">
        <v>23479</v>
      </c>
      <c r="AC420" s="67">
        <v>4</v>
      </c>
      <c r="AD420" s="67">
        <v>18</v>
      </c>
      <c r="AE420" s="20">
        <f t="shared" si="137"/>
        <v>22</v>
      </c>
      <c r="AF420" s="20">
        <f t="shared" si="113"/>
        <v>1627818</v>
      </c>
    </row>
    <row r="421" spans="1:32">
      <c r="A421" s="2">
        <f t="shared" si="102"/>
        <v>2009</v>
      </c>
      <c r="B421" s="2">
        <f t="shared" si="138"/>
        <v>8</v>
      </c>
      <c r="C421" s="57">
        <f t="shared" si="139"/>
        <v>3917290</v>
      </c>
      <c r="D421" s="34">
        <v>1895960</v>
      </c>
      <c r="E421" s="34">
        <v>1113932</v>
      </c>
      <c r="F421" s="34">
        <v>264843</v>
      </c>
      <c r="G421" s="34">
        <v>84794</v>
      </c>
      <c r="H421" s="59">
        <f t="shared" ref="H421:H426" si="142">(F421-G421)</f>
        <v>180049</v>
      </c>
      <c r="I421" s="41">
        <v>2142</v>
      </c>
      <c r="J421" s="41">
        <v>275211</v>
      </c>
      <c r="K421" s="41">
        <v>113977</v>
      </c>
      <c r="L421" s="41">
        <v>251225</v>
      </c>
      <c r="M421" s="67">
        <v>2762454</v>
      </c>
      <c r="N421" s="20">
        <f>(M421-M420)</f>
        <v>232787</v>
      </c>
      <c r="O421" s="20">
        <f>(C421+N421)</f>
        <v>4150077</v>
      </c>
      <c r="P421" s="67">
        <v>11962</v>
      </c>
      <c r="Q421" s="20">
        <f t="shared" si="141"/>
        <v>335919</v>
      </c>
      <c r="R421" s="67">
        <v>4497958</v>
      </c>
      <c r="S421" s="72">
        <f t="shared" si="140"/>
        <v>7.4682555950944848E-2</v>
      </c>
      <c r="T421" s="67">
        <v>2401714</v>
      </c>
      <c r="U421" s="2">
        <f t="shared" si="116"/>
        <v>2009</v>
      </c>
      <c r="V421" s="2">
        <f t="shared" si="117"/>
        <v>8</v>
      </c>
      <c r="W421" s="16">
        <f>SUM(X421:AD421)</f>
        <v>1547717</v>
      </c>
      <c r="X421" s="67">
        <v>1364658</v>
      </c>
      <c r="Y421" s="67">
        <v>156142</v>
      </c>
      <c r="Z421" s="67">
        <v>2462</v>
      </c>
      <c r="AA421" s="67">
        <v>1614</v>
      </c>
      <c r="AB421" s="67">
        <v>22818</v>
      </c>
      <c r="AC421" s="67">
        <v>5</v>
      </c>
      <c r="AD421" s="67">
        <v>18</v>
      </c>
      <c r="AE421" s="20">
        <f>SUM(AC421:AD421)</f>
        <v>23</v>
      </c>
      <c r="AF421" s="20">
        <f t="shared" si="113"/>
        <v>1547694</v>
      </c>
    </row>
    <row r="422" spans="1:32">
      <c r="A422" s="2">
        <f t="shared" si="102"/>
        <v>2009</v>
      </c>
      <c r="B422" s="2">
        <f t="shared" si="138"/>
        <v>9</v>
      </c>
      <c r="C422" s="57">
        <f>SUM(D422:F422,I422:L422)</f>
        <v>4080912</v>
      </c>
      <c r="D422" s="34">
        <v>1962189</v>
      </c>
      <c r="E422" s="34">
        <v>1129981</v>
      </c>
      <c r="F422" s="34">
        <v>306550</v>
      </c>
      <c r="G422" s="34">
        <v>111504</v>
      </c>
      <c r="H422" s="59">
        <f t="shared" si="142"/>
        <v>195046</v>
      </c>
      <c r="I422" s="41">
        <v>2153</v>
      </c>
      <c r="J422" s="41">
        <v>307957</v>
      </c>
      <c r="K422" s="41">
        <v>122375</v>
      </c>
      <c r="L422" s="41">
        <v>249707</v>
      </c>
      <c r="M422" s="67">
        <v>2418823</v>
      </c>
      <c r="N422" s="20">
        <f>(M422-M421)</f>
        <v>-343631</v>
      </c>
      <c r="O422" s="20">
        <f>(C422+N422)</f>
        <v>3737281</v>
      </c>
      <c r="P422" s="67">
        <v>14108</v>
      </c>
      <c r="Q422" s="20">
        <f t="shared" si="141"/>
        <v>277369</v>
      </c>
      <c r="R422" s="67">
        <v>4028758</v>
      </c>
      <c r="S422" s="72">
        <f>(Q422/R422)</f>
        <v>6.8847272534115975E-2</v>
      </c>
      <c r="T422" s="67">
        <v>2176070</v>
      </c>
      <c r="U422" s="2">
        <f t="shared" si="116"/>
        <v>2009</v>
      </c>
      <c r="V422" s="2">
        <f t="shared" si="117"/>
        <v>9</v>
      </c>
      <c r="W422" s="16">
        <f>SUM(X422:AD422)</f>
        <v>1610373</v>
      </c>
      <c r="X422" s="67">
        <v>1423116</v>
      </c>
      <c r="Y422" s="67">
        <v>159941</v>
      </c>
      <c r="Z422" s="67">
        <v>2454</v>
      </c>
      <c r="AA422" s="67">
        <v>1612</v>
      </c>
      <c r="AB422" s="67">
        <v>23227</v>
      </c>
      <c r="AC422" s="67">
        <v>5</v>
      </c>
      <c r="AD422" s="67">
        <v>18</v>
      </c>
      <c r="AE422" s="20">
        <f>SUM(AC422:AD422)</f>
        <v>23</v>
      </c>
      <c r="AF422" s="20">
        <f t="shared" si="113"/>
        <v>1610350</v>
      </c>
    </row>
    <row r="423" spans="1:32">
      <c r="A423" s="2">
        <f t="shared" si="102"/>
        <v>2009</v>
      </c>
      <c r="B423" s="2">
        <f t="shared" si="138"/>
        <v>10</v>
      </c>
      <c r="C423" s="57">
        <f>SUM(D423:F423,I423:L423)</f>
        <v>3688660</v>
      </c>
      <c r="D423" s="34">
        <v>1831805</v>
      </c>
      <c r="E423" s="34">
        <v>1077662</v>
      </c>
      <c r="F423" s="34">
        <v>226759</v>
      </c>
      <c r="G423" s="34">
        <v>47448</v>
      </c>
      <c r="H423" s="59">
        <f t="shared" si="142"/>
        <v>179311</v>
      </c>
      <c r="I423" s="58">
        <v>2160</v>
      </c>
      <c r="J423" s="41">
        <v>302056</v>
      </c>
      <c r="K423" s="41">
        <v>69364</v>
      </c>
      <c r="L423" s="41">
        <v>178854</v>
      </c>
      <c r="M423" s="67">
        <v>2317154</v>
      </c>
      <c r="N423" s="20">
        <f>(M423-M422)</f>
        <v>-101669</v>
      </c>
      <c r="O423" s="20">
        <f>(C423+N423)</f>
        <v>3586991</v>
      </c>
      <c r="P423" s="67">
        <v>12320</v>
      </c>
      <c r="Q423" s="20">
        <f t="shared" si="141"/>
        <v>220050</v>
      </c>
      <c r="R423" s="67">
        <v>3819361</v>
      </c>
      <c r="S423" s="72">
        <f>(Q423/R423)</f>
        <v>5.7614349625500182E-2</v>
      </c>
      <c r="T423" s="67">
        <v>2022460</v>
      </c>
      <c r="U423" s="2">
        <f t="shared" si="116"/>
        <v>2009</v>
      </c>
      <c r="V423" s="2">
        <f t="shared" si="117"/>
        <v>10</v>
      </c>
      <c r="W423" s="16">
        <f>SUM(X423:AD423)</f>
        <v>1573910</v>
      </c>
      <c r="X423" s="67">
        <v>1388677</v>
      </c>
      <c r="Y423" s="67">
        <v>158091</v>
      </c>
      <c r="Z423" s="67">
        <v>2456</v>
      </c>
      <c r="AA423" s="67">
        <v>1616</v>
      </c>
      <c r="AB423" s="67">
        <v>23046</v>
      </c>
      <c r="AC423" s="67">
        <v>5</v>
      </c>
      <c r="AD423" s="67">
        <v>19</v>
      </c>
      <c r="AE423" s="20">
        <f>SUM(AC423:AD423)</f>
        <v>24</v>
      </c>
      <c r="AF423" s="20">
        <f t="shared" si="113"/>
        <v>1573886</v>
      </c>
    </row>
    <row r="424" spans="1:32">
      <c r="A424" s="2">
        <f t="shared" si="102"/>
        <v>2009</v>
      </c>
      <c r="B424" s="2">
        <f t="shared" si="138"/>
        <v>11</v>
      </c>
      <c r="C424" s="57">
        <f>SUM(D424:F424,I424:L424)</f>
        <v>3544476</v>
      </c>
      <c r="D424" s="34">
        <v>1620816</v>
      </c>
      <c r="E424" s="34">
        <v>1014437</v>
      </c>
      <c r="F424" s="34">
        <v>324306</v>
      </c>
      <c r="G424" s="34">
        <v>122867</v>
      </c>
      <c r="H424" s="59">
        <f t="shared" si="142"/>
        <v>201439</v>
      </c>
      <c r="I424" s="41">
        <v>2167</v>
      </c>
      <c r="J424" s="41">
        <v>291644</v>
      </c>
      <c r="K424" s="41">
        <v>102688</v>
      </c>
      <c r="L424" s="41">
        <v>188418</v>
      </c>
      <c r="M424" s="67">
        <v>1614658</v>
      </c>
      <c r="N424" s="20">
        <f>(M424-M423)</f>
        <v>-702496</v>
      </c>
      <c r="O424" s="20">
        <f>(C424+N424)</f>
        <v>2841980</v>
      </c>
      <c r="P424" s="67">
        <v>16666</v>
      </c>
      <c r="Q424" s="20">
        <f t="shared" ref="Q424" si="143">(R424-O424-P424)</f>
        <v>68893</v>
      </c>
      <c r="R424" s="67">
        <v>2927539</v>
      </c>
      <c r="S424" s="72">
        <f>(Q424/R424)</f>
        <v>2.3532735174492978E-2</v>
      </c>
      <c r="T424" s="67">
        <v>1485606</v>
      </c>
      <c r="U424" s="2">
        <f t="shared" si="116"/>
        <v>2009</v>
      </c>
      <c r="V424" s="2">
        <f t="shared" si="117"/>
        <v>11</v>
      </c>
      <c r="W424" s="16">
        <f>SUM(X424:AD424)</f>
        <v>1799883</v>
      </c>
      <c r="X424" s="67">
        <v>1598157</v>
      </c>
      <c r="Y424" s="67">
        <v>172922</v>
      </c>
      <c r="Z424" s="67">
        <v>2577</v>
      </c>
      <c r="AA424" s="67">
        <v>1624</v>
      </c>
      <c r="AB424" s="67">
        <v>24582</v>
      </c>
      <c r="AC424" s="67">
        <v>4</v>
      </c>
      <c r="AD424" s="67">
        <v>17</v>
      </c>
      <c r="AE424" s="20">
        <f>SUM(AC424:AD424)</f>
        <v>21</v>
      </c>
      <c r="AF424" s="20">
        <f t="shared" si="113"/>
        <v>1799862</v>
      </c>
    </row>
    <row r="425" spans="1:32" s="26" customFormat="1">
      <c r="A425" s="26">
        <f t="shared" si="102"/>
        <v>2009</v>
      </c>
      <c r="B425" s="26">
        <f t="shared" si="138"/>
        <v>12</v>
      </c>
      <c r="C425" s="61">
        <f>SUM(D425:F425,I425:L425)</f>
        <v>2787107</v>
      </c>
      <c r="D425" s="13">
        <v>1246838</v>
      </c>
      <c r="E425" s="13">
        <v>884457</v>
      </c>
      <c r="F425" s="13">
        <v>248136</v>
      </c>
      <c r="G425" s="13">
        <v>80035</v>
      </c>
      <c r="H425" s="63">
        <f t="shared" si="142"/>
        <v>168101</v>
      </c>
      <c r="I425" s="43">
        <v>2173</v>
      </c>
      <c r="J425" s="43">
        <v>247135</v>
      </c>
      <c r="K425" s="43">
        <v>42118</v>
      </c>
      <c r="L425" s="43">
        <v>116250</v>
      </c>
      <c r="M425" s="69">
        <v>1735432</v>
      </c>
      <c r="N425" s="47">
        <f>(M425-M424)</f>
        <v>120774</v>
      </c>
      <c r="O425" s="47">
        <f>(C425+N425)</f>
        <v>2907881</v>
      </c>
      <c r="P425" s="69">
        <v>13991</v>
      </c>
      <c r="Q425" s="47">
        <f t="shared" ref="Q425:Q426" si="144">(R425-O425-P425)</f>
        <v>228985</v>
      </c>
      <c r="R425" s="69">
        <v>3150857</v>
      </c>
      <c r="S425" s="82">
        <f>(Q425/R425)</f>
        <v>7.2673878884379706E-2</v>
      </c>
      <c r="T425" s="69">
        <v>1566506</v>
      </c>
      <c r="U425" s="26">
        <f t="shared" si="116"/>
        <v>2009</v>
      </c>
      <c r="V425" s="26">
        <f t="shared" si="117"/>
        <v>12</v>
      </c>
      <c r="W425" s="27">
        <f>SUM(X425:AD425)</f>
        <v>1618733</v>
      </c>
      <c r="X425" s="69">
        <v>1432141</v>
      </c>
      <c r="Y425" s="69">
        <v>159240</v>
      </c>
      <c r="Z425" s="69">
        <v>2409</v>
      </c>
      <c r="AA425" s="69">
        <v>1616</v>
      </c>
      <c r="AB425" s="69">
        <v>23305</v>
      </c>
      <c r="AC425" s="69">
        <v>5</v>
      </c>
      <c r="AD425" s="69">
        <v>17</v>
      </c>
      <c r="AE425" s="47">
        <f>SUM(AC425:AD425)</f>
        <v>22</v>
      </c>
      <c r="AF425" s="47">
        <f t="shared" si="113"/>
        <v>1618711</v>
      </c>
    </row>
    <row r="426" spans="1:32">
      <c r="A426" s="2">
        <f t="shared" si="102"/>
        <v>2010</v>
      </c>
      <c r="B426" s="2">
        <f t="shared" si="138"/>
        <v>1</v>
      </c>
      <c r="C426" s="57">
        <f t="shared" ref="C426" si="145">SUM(D426:F426,I426:L426)</f>
        <v>3487141</v>
      </c>
      <c r="D426" s="34">
        <v>1898161</v>
      </c>
      <c r="E426" s="34">
        <v>909100</v>
      </c>
      <c r="F426" s="34">
        <v>246057</v>
      </c>
      <c r="G426" s="34">
        <v>80009</v>
      </c>
      <c r="H426" s="59">
        <f t="shared" si="142"/>
        <v>166048</v>
      </c>
      <c r="I426" s="41">
        <v>2132</v>
      </c>
      <c r="J426" s="41">
        <v>253065</v>
      </c>
      <c r="K426" s="41">
        <v>46738</v>
      </c>
      <c r="L426" s="41">
        <v>131888</v>
      </c>
      <c r="M426" s="67">
        <v>2157887</v>
      </c>
      <c r="N426" s="20">
        <f t="shared" ref="N426" si="146">(M426-M425)</f>
        <v>422455</v>
      </c>
      <c r="O426" s="20">
        <f t="shared" ref="O426" si="147">(C426+N426)</f>
        <v>3909596</v>
      </c>
      <c r="P426" s="67">
        <v>11404</v>
      </c>
      <c r="Q426" s="20">
        <f t="shared" si="144"/>
        <v>230866</v>
      </c>
      <c r="R426" s="67">
        <v>4151866</v>
      </c>
      <c r="S426" s="72">
        <f t="shared" ref="S426" si="148">(Q426/R426)</f>
        <v>5.5605359132496091E-2</v>
      </c>
      <c r="T426" s="67">
        <v>1762997</v>
      </c>
      <c r="U426" s="2">
        <f t="shared" si="116"/>
        <v>2010</v>
      </c>
      <c r="V426" s="2">
        <f t="shared" si="117"/>
        <v>1</v>
      </c>
      <c r="W426" s="16">
        <f t="shared" ref="W426" si="149">SUM(X426:AD426)</f>
        <v>1623951</v>
      </c>
      <c r="X426" s="67">
        <v>1436475</v>
      </c>
      <c r="Y426" s="67">
        <v>160133</v>
      </c>
      <c r="Z426" s="67">
        <v>2450</v>
      </c>
      <c r="AA426" s="67">
        <v>1613</v>
      </c>
      <c r="AB426" s="67">
        <v>23259</v>
      </c>
      <c r="AC426" s="67">
        <v>4</v>
      </c>
      <c r="AD426" s="67">
        <v>17</v>
      </c>
      <c r="AE426" s="20">
        <f t="shared" ref="AE426" si="150">SUM(AC426:AD426)</f>
        <v>21</v>
      </c>
      <c r="AF426" s="20">
        <f t="shared" si="113"/>
        <v>1623930</v>
      </c>
    </row>
    <row r="427" spans="1:32">
      <c r="A427" s="2">
        <f t="shared" si="102"/>
        <v>2010</v>
      </c>
      <c r="B427" s="2">
        <f t="shared" si="138"/>
        <v>2</v>
      </c>
      <c r="C427" s="57">
        <f t="shared" ref="C427" si="151">SUM(D427:F427,I427:L427)</f>
        <v>3300501</v>
      </c>
      <c r="D427" s="34">
        <v>1581544</v>
      </c>
      <c r="E427" s="34">
        <v>843529</v>
      </c>
      <c r="F427" s="34">
        <v>261310</v>
      </c>
      <c r="G427" s="34">
        <v>88375</v>
      </c>
      <c r="H427" s="59">
        <f t="shared" ref="H427" si="152">(F427-G427)</f>
        <v>172935</v>
      </c>
      <c r="I427" s="41">
        <v>2167</v>
      </c>
      <c r="J427" s="41">
        <v>236784</v>
      </c>
      <c r="K427" s="41">
        <v>193846</v>
      </c>
      <c r="L427" s="41">
        <v>181321</v>
      </c>
      <c r="M427" s="67">
        <v>2048044</v>
      </c>
      <c r="N427" s="20">
        <f t="shared" ref="N427" si="153">(M427-M426)</f>
        <v>-109843</v>
      </c>
      <c r="O427" s="20">
        <f t="shared" ref="O427" si="154">(C427+N427)</f>
        <v>3190658</v>
      </c>
      <c r="P427" s="67">
        <v>12241</v>
      </c>
      <c r="Q427" s="20">
        <f t="shared" ref="Q427" si="155">(R427-O427-P427)</f>
        <v>221920</v>
      </c>
      <c r="R427" s="67">
        <v>3424819</v>
      </c>
      <c r="S427" s="72">
        <f t="shared" ref="S427" si="156">(Q427/R427)</f>
        <v>6.4797584923466031E-2</v>
      </c>
      <c r="T427" s="67">
        <v>1752573</v>
      </c>
      <c r="U427" s="2">
        <f t="shared" si="116"/>
        <v>2010</v>
      </c>
      <c r="V427" s="2">
        <f t="shared" si="117"/>
        <v>2</v>
      </c>
      <c r="W427" s="16">
        <f t="shared" ref="W427" si="157">SUM(X427:AD427)</f>
        <v>1593733</v>
      </c>
      <c r="X427" s="67">
        <v>1408114</v>
      </c>
      <c r="Y427" s="67">
        <v>158444</v>
      </c>
      <c r="Z427" s="67">
        <v>2449</v>
      </c>
      <c r="AA427" s="67">
        <v>1603</v>
      </c>
      <c r="AB427" s="67">
        <v>23104</v>
      </c>
      <c r="AC427" s="67">
        <v>5</v>
      </c>
      <c r="AD427" s="67">
        <v>14</v>
      </c>
      <c r="AE427" s="20">
        <f t="shared" ref="AE427" si="158">SUM(AC427:AD427)</f>
        <v>19</v>
      </c>
      <c r="AF427" s="20">
        <f t="shared" si="113"/>
        <v>1593714</v>
      </c>
    </row>
    <row r="428" spans="1:32">
      <c r="A428" s="2">
        <f t="shared" si="102"/>
        <v>2010</v>
      </c>
      <c r="B428" s="2">
        <f t="shared" si="138"/>
        <v>3</v>
      </c>
      <c r="C428" s="57">
        <f t="shared" ref="C428" si="159">SUM(D428:F428,I428:L428)</f>
        <v>3297978</v>
      </c>
      <c r="D428" s="34">
        <v>1646028</v>
      </c>
      <c r="E428" s="34">
        <v>844159</v>
      </c>
      <c r="F428" s="34">
        <v>260907</v>
      </c>
      <c r="G428" s="34">
        <v>95074</v>
      </c>
      <c r="H428" s="59">
        <f t="shared" ref="H428" si="160">(F428-G428)</f>
        <v>165833</v>
      </c>
      <c r="I428" s="41">
        <v>2176</v>
      </c>
      <c r="J428" s="41">
        <v>237457</v>
      </c>
      <c r="K428" s="41">
        <v>144313</v>
      </c>
      <c r="L428" s="41">
        <v>162938</v>
      </c>
      <c r="M428" s="67">
        <v>1718555</v>
      </c>
      <c r="N428" s="20">
        <f t="shared" ref="N428" si="161">(M428-M427)</f>
        <v>-329489</v>
      </c>
      <c r="O428" s="20">
        <f t="shared" ref="O428" si="162">(C428+N428)</f>
        <v>2968489</v>
      </c>
      <c r="P428" s="67">
        <v>11598</v>
      </c>
      <c r="Q428" s="20">
        <f t="shared" ref="Q428" si="163">(R428-O428-P428)</f>
        <v>192780</v>
      </c>
      <c r="R428" s="67">
        <v>3172867</v>
      </c>
      <c r="S428" s="72">
        <f t="shared" ref="S428" si="164">(Q428/R428)</f>
        <v>6.0758928754341107E-2</v>
      </c>
      <c r="T428" s="67">
        <v>1496264</v>
      </c>
      <c r="U428" s="2">
        <f t="shared" si="116"/>
        <v>2010</v>
      </c>
      <c r="V428" s="2">
        <f t="shared" si="117"/>
        <v>3</v>
      </c>
      <c r="W428" s="16">
        <f t="shared" ref="W428" si="165">SUM(X428:AD428)</f>
        <v>1651521</v>
      </c>
      <c r="X428" s="67">
        <v>1460638</v>
      </c>
      <c r="Y428" s="67">
        <v>162994</v>
      </c>
      <c r="Z428" s="67">
        <v>2481</v>
      </c>
      <c r="AA428" s="67">
        <v>1610</v>
      </c>
      <c r="AB428" s="67">
        <v>23779</v>
      </c>
      <c r="AC428" s="67">
        <v>5</v>
      </c>
      <c r="AD428" s="67">
        <v>14</v>
      </c>
      <c r="AE428" s="20">
        <f t="shared" ref="AE428" si="166">SUM(AC428:AD428)</f>
        <v>19</v>
      </c>
      <c r="AF428" s="20">
        <f t="shared" si="113"/>
        <v>1651502</v>
      </c>
    </row>
    <row r="429" spans="1:32">
      <c r="A429" s="2">
        <f t="shared" si="102"/>
        <v>2010</v>
      </c>
      <c r="B429" s="2">
        <f t="shared" si="138"/>
        <v>4</v>
      </c>
      <c r="C429" s="57">
        <f t="shared" ref="C429" si="167">SUM(D429:F429,I429:L429)</f>
        <v>2843897</v>
      </c>
      <c r="D429" s="34">
        <v>1202071</v>
      </c>
      <c r="E429" s="34">
        <v>873347</v>
      </c>
      <c r="F429" s="34">
        <v>291812</v>
      </c>
      <c r="G429" s="34">
        <v>109581</v>
      </c>
      <c r="H429" s="59">
        <f t="shared" ref="H429" si="168">(F429-G429)</f>
        <v>182231</v>
      </c>
      <c r="I429" s="41">
        <v>2146</v>
      </c>
      <c r="J429" s="41">
        <v>246118</v>
      </c>
      <c r="K429" s="41">
        <v>74632</v>
      </c>
      <c r="L429" s="41">
        <v>153771</v>
      </c>
      <c r="M429" s="67">
        <v>1726849</v>
      </c>
      <c r="N429" s="20">
        <f t="shared" ref="N429" si="169">(M429-M428)</f>
        <v>8294</v>
      </c>
      <c r="O429" s="20">
        <f t="shared" ref="O429" si="170">(C429+N429)</f>
        <v>2852191</v>
      </c>
      <c r="P429" s="67">
        <v>10041</v>
      </c>
      <c r="Q429" s="20">
        <f t="shared" ref="Q429" si="171">(R429-O429-P429)</f>
        <v>221354</v>
      </c>
      <c r="R429" s="67">
        <v>3083586</v>
      </c>
      <c r="S429" s="72">
        <f t="shared" ref="S429" si="172">(Q429/R429)</f>
        <v>7.178460402920496E-2</v>
      </c>
      <c r="T429" s="67">
        <v>1554392</v>
      </c>
      <c r="U429" s="2">
        <f t="shared" si="116"/>
        <v>2010</v>
      </c>
      <c r="V429" s="2">
        <f t="shared" si="117"/>
        <v>4</v>
      </c>
      <c r="W429" s="16">
        <f t="shared" ref="W429" si="173">SUM(X429:AD429)</f>
        <v>1635468</v>
      </c>
      <c r="X429" s="67">
        <v>1445768</v>
      </c>
      <c r="Y429" s="67">
        <v>161961</v>
      </c>
      <c r="Z429" s="67">
        <v>2506</v>
      </c>
      <c r="AA429" s="67">
        <v>1607</v>
      </c>
      <c r="AB429" s="67">
        <v>23607</v>
      </c>
      <c r="AC429" s="67">
        <v>5</v>
      </c>
      <c r="AD429" s="67">
        <v>14</v>
      </c>
      <c r="AE429" s="20">
        <f t="shared" ref="AE429" si="174">SUM(AC429:AD429)</f>
        <v>19</v>
      </c>
      <c r="AF429" s="20">
        <f t="shared" si="113"/>
        <v>1635449</v>
      </c>
    </row>
    <row r="430" spans="1:32">
      <c r="A430" s="2">
        <f t="shared" si="102"/>
        <v>2010</v>
      </c>
      <c r="B430" s="2">
        <f t="shared" si="138"/>
        <v>5</v>
      </c>
      <c r="C430" s="57">
        <f t="shared" ref="C430" si="175">SUM(D430:F430,I430:L430)</f>
        <v>3140162</v>
      </c>
      <c r="D430" s="34">
        <v>1462500</v>
      </c>
      <c r="E430" s="34">
        <v>951480</v>
      </c>
      <c r="F430" s="34">
        <v>285924</v>
      </c>
      <c r="G430" s="34">
        <v>90406</v>
      </c>
      <c r="H430" s="59">
        <f t="shared" ref="H430" si="176">(F430-G430)</f>
        <v>195518</v>
      </c>
      <c r="I430" s="41">
        <v>2127</v>
      </c>
      <c r="J430" s="41">
        <v>266042</v>
      </c>
      <c r="K430" s="41">
        <v>50488</v>
      </c>
      <c r="L430" s="41">
        <v>121601</v>
      </c>
      <c r="M430" s="67">
        <v>2468348</v>
      </c>
      <c r="N430" s="20">
        <f t="shared" ref="N430" si="177">(M430-M429)</f>
        <v>741499</v>
      </c>
      <c r="O430" s="20">
        <f t="shared" ref="O430" si="178">(C430+N430)</f>
        <v>3881661</v>
      </c>
      <c r="P430" s="67">
        <v>13105</v>
      </c>
      <c r="Q430" s="20">
        <f t="shared" ref="Q430" si="179">(R430-O430-P430)</f>
        <v>326534</v>
      </c>
      <c r="R430" s="67">
        <v>4221300</v>
      </c>
      <c r="S430" s="72">
        <f t="shared" ref="S430" si="180">(Q430/R430)</f>
        <v>7.7353895719328172E-2</v>
      </c>
      <c r="T430" s="67">
        <v>2097398</v>
      </c>
      <c r="U430" s="2">
        <f t="shared" si="116"/>
        <v>2010</v>
      </c>
      <c r="V430" s="2">
        <f t="shared" si="117"/>
        <v>5</v>
      </c>
      <c r="W430" s="16">
        <f t="shared" ref="W430" si="181">SUM(X430:AD430)</f>
        <v>1624173</v>
      </c>
      <c r="X430" s="67">
        <v>1436418</v>
      </c>
      <c r="Y430" s="67">
        <v>160310</v>
      </c>
      <c r="Z430" s="67">
        <v>2454</v>
      </c>
      <c r="AA430" s="67">
        <v>1603</v>
      </c>
      <c r="AB430" s="67">
        <v>23370</v>
      </c>
      <c r="AC430" s="67">
        <v>4</v>
      </c>
      <c r="AD430" s="67">
        <v>14</v>
      </c>
      <c r="AE430" s="20">
        <f t="shared" ref="AE430" si="182">SUM(AC430:AD430)</f>
        <v>18</v>
      </c>
      <c r="AF430" s="20">
        <f t="shared" si="113"/>
        <v>1624155</v>
      </c>
    </row>
    <row r="431" spans="1:32">
      <c r="A431" s="2">
        <f t="shared" si="102"/>
        <v>2010</v>
      </c>
      <c r="B431" s="2">
        <f t="shared" si="138"/>
        <v>6</v>
      </c>
      <c r="C431" s="57">
        <f t="shared" ref="C431" si="183">SUM(D431:F431,I431:L431)</f>
        <v>4002542</v>
      </c>
      <c r="D431" s="34">
        <v>1933927</v>
      </c>
      <c r="E431" s="34">
        <v>1114029</v>
      </c>
      <c r="F431" s="34">
        <v>289178</v>
      </c>
      <c r="G431" s="34">
        <v>90638</v>
      </c>
      <c r="H431" s="59">
        <f t="shared" ref="H431" si="184">(F431-G431)</f>
        <v>198540</v>
      </c>
      <c r="I431" s="41">
        <v>2126</v>
      </c>
      <c r="J431" s="41">
        <v>305479</v>
      </c>
      <c r="K431" s="41">
        <v>163314</v>
      </c>
      <c r="L431" s="41">
        <v>194489</v>
      </c>
      <c r="M431" s="67">
        <v>2760648</v>
      </c>
      <c r="N431" s="20">
        <f t="shared" ref="N431" si="185">(M431-M430)</f>
        <v>292300</v>
      </c>
      <c r="O431" s="20">
        <f t="shared" ref="O431" si="186">(C431+N431)</f>
        <v>4294842</v>
      </c>
      <c r="P431" s="67">
        <v>16398</v>
      </c>
      <c r="Q431" s="20">
        <f t="shared" ref="Q431" si="187">(R431-O431-P431)</f>
        <v>332302</v>
      </c>
      <c r="R431" s="67">
        <v>4643542</v>
      </c>
      <c r="S431" s="72">
        <f t="shared" ref="S431" si="188">(Q431/R431)</f>
        <v>7.1562182489142992E-2</v>
      </c>
      <c r="T431" s="67">
        <v>2296561</v>
      </c>
      <c r="U431" s="2">
        <f t="shared" si="116"/>
        <v>2010</v>
      </c>
      <c r="V431" s="2">
        <f t="shared" si="117"/>
        <v>6</v>
      </c>
      <c r="W431" s="16">
        <f t="shared" ref="W431" si="189">SUM(X431:AD431)</f>
        <v>1658104</v>
      </c>
      <c r="X431" s="67">
        <v>1468050</v>
      </c>
      <c r="Y431" s="67">
        <v>162284</v>
      </c>
      <c r="Z431" s="67">
        <v>2513</v>
      </c>
      <c r="AA431" s="67">
        <v>1633</v>
      </c>
      <c r="AB431" s="67">
        <v>23603</v>
      </c>
      <c r="AC431" s="67">
        <v>6</v>
      </c>
      <c r="AD431" s="67">
        <v>15</v>
      </c>
      <c r="AE431" s="20">
        <f t="shared" ref="AE431" si="190">SUM(AC431:AD431)</f>
        <v>21</v>
      </c>
      <c r="AF431" s="20">
        <f t="shared" si="113"/>
        <v>1658083</v>
      </c>
    </row>
    <row r="432" spans="1:32">
      <c r="A432" s="2">
        <f t="shared" si="102"/>
        <v>2010</v>
      </c>
      <c r="B432" s="2">
        <f t="shared" si="138"/>
        <v>7</v>
      </c>
      <c r="C432" s="57">
        <f t="shared" ref="C432" si="191">SUM(D432:F432,I432:L432)</f>
        <v>4244903</v>
      </c>
      <c r="D432" s="34">
        <v>2055318</v>
      </c>
      <c r="E432" s="34">
        <v>1157779</v>
      </c>
      <c r="F432" s="34">
        <v>288009</v>
      </c>
      <c r="G432" s="34">
        <v>82588</v>
      </c>
      <c r="H432" s="59">
        <f t="shared" ref="H432" si="192">(F432-G432)</f>
        <v>205421</v>
      </c>
      <c r="I432" s="41">
        <v>2147</v>
      </c>
      <c r="J432" s="41">
        <v>282721</v>
      </c>
      <c r="K432" s="41">
        <v>196318</v>
      </c>
      <c r="L432" s="41">
        <v>262611</v>
      </c>
      <c r="M432" s="67">
        <v>2847902</v>
      </c>
      <c r="N432" s="20">
        <f t="shared" ref="N432" si="193">(M432-M431)</f>
        <v>87254</v>
      </c>
      <c r="O432" s="20">
        <f t="shared" ref="O432" si="194">(C432+N432)</f>
        <v>4332157</v>
      </c>
      <c r="P432" s="67">
        <v>18991</v>
      </c>
      <c r="Q432" s="20">
        <f t="shared" ref="Q432" si="195">(R432-O432-P432)</f>
        <v>330820</v>
      </c>
      <c r="R432" s="67">
        <v>4681968</v>
      </c>
      <c r="S432" s="72">
        <f t="shared" ref="S432" si="196">(Q432/R432)</f>
        <v>7.0658321457985188E-2</v>
      </c>
      <c r="T432" s="67">
        <v>2409341</v>
      </c>
      <c r="U432" s="2">
        <f t="shared" si="116"/>
        <v>2010</v>
      </c>
      <c r="V432" s="2">
        <f t="shared" si="117"/>
        <v>7</v>
      </c>
      <c r="W432" s="16">
        <f t="shared" ref="W432" si="197">SUM(X432:AD432)</f>
        <v>1610693</v>
      </c>
      <c r="X432" s="67">
        <v>1422561</v>
      </c>
      <c r="Y432" s="67">
        <v>160741</v>
      </c>
      <c r="Z432" s="67">
        <v>2472</v>
      </c>
      <c r="AA432" s="67">
        <v>1633</v>
      </c>
      <c r="AB432" s="67">
        <v>23268</v>
      </c>
      <c r="AC432" s="67">
        <v>4</v>
      </c>
      <c r="AD432" s="67">
        <v>14</v>
      </c>
      <c r="AE432" s="20">
        <f t="shared" ref="AE432" si="198">SUM(AC432:AD432)</f>
        <v>18</v>
      </c>
      <c r="AF432" s="20">
        <f t="shared" si="113"/>
        <v>1610675</v>
      </c>
    </row>
    <row r="433" spans="1:33">
      <c r="A433" s="2">
        <f t="shared" si="102"/>
        <v>2010</v>
      </c>
      <c r="B433" s="2">
        <f t="shared" si="138"/>
        <v>8</v>
      </c>
      <c r="C433" s="57">
        <f t="shared" ref="C433" si="199">SUM(D433:F433,I433:L433)</f>
        <v>4291578</v>
      </c>
      <c r="D433" s="34">
        <v>2135860</v>
      </c>
      <c r="E433" s="34">
        <v>1162292</v>
      </c>
      <c r="F433" s="34">
        <v>277073</v>
      </c>
      <c r="G433" s="34">
        <v>77450</v>
      </c>
      <c r="H433" s="59">
        <f t="shared" ref="H433" si="200">(F433-G433)</f>
        <v>199623</v>
      </c>
      <c r="I433" s="41">
        <v>2138</v>
      </c>
      <c r="J433" s="41">
        <v>292566</v>
      </c>
      <c r="K433" s="41">
        <v>154922</v>
      </c>
      <c r="L433" s="41">
        <v>266727</v>
      </c>
      <c r="M433" s="67">
        <v>2748607</v>
      </c>
      <c r="N433" s="20">
        <f t="shared" ref="N433" si="201">(M433-M432)</f>
        <v>-99295</v>
      </c>
      <c r="O433" s="20">
        <f t="shared" ref="O433" si="202">(C433+N433)</f>
        <v>4192283</v>
      </c>
      <c r="P433" s="67">
        <v>15145</v>
      </c>
      <c r="Q433" s="20">
        <f t="shared" ref="Q433" si="203">(R433-O433-P433)</f>
        <v>346469</v>
      </c>
      <c r="R433" s="67">
        <v>4553897</v>
      </c>
      <c r="S433" s="72">
        <f t="shared" ref="S433" si="204">(Q433/R433)</f>
        <v>7.6081870099389604E-2</v>
      </c>
      <c r="T433" s="67">
        <v>2319317</v>
      </c>
      <c r="U433" s="2">
        <f t="shared" si="116"/>
        <v>2010</v>
      </c>
      <c r="V433" s="2">
        <f t="shared" si="117"/>
        <v>8</v>
      </c>
      <c r="W433" s="16">
        <f t="shared" ref="W433" si="205">SUM(X433:AD433)</f>
        <v>1588951</v>
      </c>
      <c r="X433" s="67">
        <v>1402438</v>
      </c>
      <c r="Y433" s="67">
        <v>158917</v>
      </c>
      <c r="Z433" s="67">
        <v>2471</v>
      </c>
      <c r="AA433" s="67">
        <v>1631</v>
      </c>
      <c r="AB433" s="67">
        <v>23475</v>
      </c>
      <c r="AC433" s="67">
        <v>5</v>
      </c>
      <c r="AD433" s="67">
        <v>14</v>
      </c>
      <c r="AE433" s="20">
        <f t="shared" ref="AE433" si="206">SUM(AC433:AD433)</f>
        <v>19</v>
      </c>
      <c r="AF433" s="20">
        <f t="shared" si="113"/>
        <v>1588932</v>
      </c>
    </row>
    <row r="434" spans="1:33">
      <c r="A434" s="2">
        <f t="shared" si="102"/>
        <v>2010</v>
      </c>
      <c r="B434" s="2">
        <f t="shared" si="138"/>
        <v>9</v>
      </c>
      <c r="C434" s="57">
        <f t="shared" ref="C434" si="207">SUM(D434:F434,I434:L434)</f>
        <v>4131495</v>
      </c>
      <c r="D434" s="34">
        <v>1990903</v>
      </c>
      <c r="E434" s="34">
        <v>1134918</v>
      </c>
      <c r="F434" s="34">
        <v>271176</v>
      </c>
      <c r="G434" s="34">
        <v>72828</v>
      </c>
      <c r="H434" s="59">
        <f t="shared" ref="H434" si="208">(F434-G434)</f>
        <v>198348</v>
      </c>
      <c r="I434" s="41">
        <v>2148</v>
      </c>
      <c r="J434" s="41">
        <v>310791</v>
      </c>
      <c r="K434" s="41">
        <v>146722</v>
      </c>
      <c r="L434" s="41">
        <v>274837</v>
      </c>
      <c r="M434" s="67">
        <v>2461890</v>
      </c>
      <c r="N434" s="20">
        <f t="shared" ref="N434" si="209">(M434-M433)</f>
        <v>-286717</v>
      </c>
      <c r="O434" s="20">
        <f t="shared" ref="O434" si="210">(C434+N434)</f>
        <v>3844778</v>
      </c>
      <c r="P434" s="67">
        <v>20629</v>
      </c>
      <c r="Q434" s="20">
        <f t="shared" ref="Q434" si="211">(R434-O434-P434)</f>
        <v>164685</v>
      </c>
      <c r="R434" s="67">
        <v>4030092</v>
      </c>
      <c r="S434" s="72">
        <f t="shared" ref="S434" si="212">(Q434/R434)</f>
        <v>4.086383139640485E-2</v>
      </c>
      <c r="T434" s="67">
        <v>2174010</v>
      </c>
      <c r="U434" s="2">
        <f t="shared" si="116"/>
        <v>2010</v>
      </c>
      <c r="V434" s="2">
        <f t="shared" si="117"/>
        <v>9</v>
      </c>
      <c r="W434" s="16">
        <f t="shared" ref="W434" si="213">SUM(X434:AD434)</f>
        <v>1639493</v>
      </c>
      <c r="X434" s="67">
        <v>1451630</v>
      </c>
      <c r="Y434" s="67">
        <v>160216</v>
      </c>
      <c r="Z434" s="67">
        <v>2501</v>
      </c>
      <c r="AA434" s="67">
        <v>1631</v>
      </c>
      <c r="AB434" s="67">
        <v>23496</v>
      </c>
      <c r="AC434" s="67">
        <v>5</v>
      </c>
      <c r="AD434" s="67">
        <v>14</v>
      </c>
      <c r="AE434" s="20">
        <f t="shared" ref="AE434" si="214">SUM(AC434:AD434)</f>
        <v>19</v>
      </c>
      <c r="AF434" s="20">
        <f t="shared" si="113"/>
        <v>1639474</v>
      </c>
    </row>
    <row r="435" spans="1:33">
      <c r="A435" s="2">
        <f t="shared" si="102"/>
        <v>2010</v>
      </c>
      <c r="B435" s="2">
        <f t="shared" si="138"/>
        <v>10</v>
      </c>
      <c r="C435" s="57">
        <f t="shared" ref="C435" si="215">SUM(D435:F435,I435:L435)</f>
        <v>3470557</v>
      </c>
      <c r="D435" s="34">
        <v>1589268</v>
      </c>
      <c r="E435" s="34">
        <v>1042956</v>
      </c>
      <c r="F435" s="34">
        <v>250963</v>
      </c>
      <c r="G435" s="34">
        <v>63642</v>
      </c>
      <c r="H435" s="59">
        <f t="shared" ref="H435" si="216">(F435-G435)</f>
        <v>187321</v>
      </c>
      <c r="I435" s="58">
        <v>2160</v>
      </c>
      <c r="J435" s="41">
        <v>298711</v>
      </c>
      <c r="K435" s="41">
        <v>66129</v>
      </c>
      <c r="L435" s="41">
        <v>220370</v>
      </c>
      <c r="M435" s="67">
        <v>2163867</v>
      </c>
      <c r="N435" s="20">
        <f t="shared" ref="N435" si="217">(M435-M434)</f>
        <v>-298023</v>
      </c>
      <c r="O435" s="20">
        <f t="shared" ref="O435" si="218">(C435+N435)</f>
        <v>3172534</v>
      </c>
      <c r="P435" s="67">
        <v>12256</v>
      </c>
      <c r="Q435" s="20">
        <f t="shared" ref="Q435" si="219">(R435-O435-P435)</f>
        <v>170653</v>
      </c>
      <c r="R435" s="67">
        <v>3355443</v>
      </c>
      <c r="S435" s="72">
        <f t="shared" ref="S435" si="220">(Q435/R435)</f>
        <v>5.0858560255680099E-2</v>
      </c>
      <c r="T435" s="67">
        <v>1999532</v>
      </c>
      <c r="U435" s="2">
        <f t="shared" si="116"/>
        <v>2010</v>
      </c>
      <c r="V435" s="2">
        <f t="shared" si="117"/>
        <v>10</v>
      </c>
      <c r="W435" s="16">
        <f t="shared" ref="W435" si="221">SUM(X435:AD435)</f>
        <v>1544685</v>
      </c>
      <c r="X435" s="67">
        <v>1361733</v>
      </c>
      <c r="Y435" s="67">
        <v>156122</v>
      </c>
      <c r="Z435" s="67">
        <v>2435</v>
      </c>
      <c r="AA435" s="67">
        <v>1630</v>
      </c>
      <c r="AB435" s="67">
        <v>22744</v>
      </c>
      <c r="AC435" s="67">
        <v>7</v>
      </c>
      <c r="AD435" s="67">
        <v>14</v>
      </c>
      <c r="AE435" s="20">
        <f t="shared" ref="AE435" si="222">SUM(AC435:AD435)</f>
        <v>21</v>
      </c>
      <c r="AF435" s="20">
        <f t="shared" si="113"/>
        <v>1544664</v>
      </c>
    </row>
    <row r="436" spans="1:33">
      <c r="A436" s="2">
        <f t="shared" si="102"/>
        <v>2010</v>
      </c>
      <c r="B436" s="2">
        <f t="shared" si="138"/>
        <v>11</v>
      </c>
      <c r="C436" s="57">
        <f t="shared" ref="C436" si="223">SUM(D436:F436,I436:L436)</f>
        <v>3147396</v>
      </c>
      <c r="D436" s="34">
        <v>1485374</v>
      </c>
      <c r="E436" s="34">
        <v>964894</v>
      </c>
      <c r="F436" s="34">
        <v>260215</v>
      </c>
      <c r="G436" s="34">
        <v>69913</v>
      </c>
      <c r="H436" s="59">
        <f t="shared" ref="H436" si="224">(F436-G436)</f>
        <v>190302</v>
      </c>
      <c r="I436" s="41">
        <v>2162</v>
      </c>
      <c r="J436" s="41">
        <v>275516</v>
      </c>
      <c r="K436" s="41">
        <v>24886</v>
      </c>
      <c r="L436" s="41">
        <v>134349</v>
      </c>
      <c r="M436" s="67">
        <v>1666592</v>
      </c>
      <c r="N436" s="20">
        <f t="shared" ref="N436" si="225">(M436-M435)</f>
        <v>-497275</v>
      </c>
      <c r="O436" s="20">
        <f t="shared" ref="O436" si="226">(C436+N436)</f>
        <v>2650121</v>
      </c>
      <c r="P436" s="67">
        <v>15836</v>
      </c>
      <c r="Q436" s="20">
        <f t="shared" ref="Q436" si="227">(R436-O436-P436)</f>
        <v>146471</v>
      </c>
      <c r="R436" s="67">
        <v>2812428</v>
      </c>
      <c r="S436" s="72">
        <f t="shared" ref="S436" si="228">(Q436/R436)</f>
        <v>5.2079911023499979E-2</v>
      </c>
      <c r="T436" s="67">
        <v>1544777</v>
      </c>
      <c r="U436" s="2">
        <f t="shared" si="116"/>
        <v>2010</v>
      </c>
      <c r="V436" s="2">
        <f t="shared" si="117"/>
        <v>11</v>
      </c>
      <c r="W436" s="16">
        <f t="shared" ref="W436" si="229">SUM(X436:AD436)</f>
        <v>1813020</v>
      </c>
      <c r="X436" s="67">
        <v>1609285</v>
      </c>
      <c r="Y436" s="67">
        <v>174390</v>
      </c>
      <c r="Z436" s="67">
        <v>2559</v>
      </c>
      <c r="AA436" s="67">
        <v>1633</v>
      </c>
      <c r="AB436" s="67">
        <v>25135</v>
      </c>
      <c r="AC436" s="67">
        <v>4</v>
      </c>
      <c r="AD436" s="67">
        <v>14</v>
      </c>
      <c r="AE436" s="20">
        <f t="shared" ref="AE436" si="230">SUM(AC436:AD436)</f>
        <v>18</v>
      </c>
      <c r="AF436" s="20">
        <f t="shared" si="113"/>
        <v>1813002</v>
      </c>
    </row>
    <row r="437" spans="1:33" ht="15">
      <c r="A437" s="26">
        <f t="shared" si="102"/>
        <v>2010</v>
      </c>
      <c r="B437" s="26">
        <f t="shared" si="138"/>
        <v>12</v>
      </c>
      <c r="C437" s="61">
        <f t="shared" ref="C437:C438" si="231">SUM(D437:F437,I437:L437)</f>
        <v>3059948</v>
      </c>
      <c r="D437" s="13">
        <v>1543107</v>
      </c>
      <c r="E437" s="13">
        <v>897406</v>
      </c>
      <c r="F437" s="13">
        <v>236720</v>
      </c>
      <c r="G437" s="13">
        <v>68095</v>
      </c>
      <c r="H437" s="63">
        <f t="shared" ref="H437:H438" si="232">(F437-G437)</f>
        <v>168625</v>
      </c>
      <c r="I437" s="43">
        <v>2158</v>
      </c>
      <c r="J437" s="43">
        <v>254735</v>
      </c>
      <c r="K437" s="43">
        <v>21597</v>
      </c>
      <c r="L437" s="43">
        <v>104225</v>
      </c>
      <c r="M437" s="69">
        <v>2359788</v>
      </c>
      <c r="N437" s="47">
        <f t="shared" ref="N437:N438" si="233">(M437-M436)</f>
        <v>693196</v>
      </c>
      <c r="O437" s="47">
        <f t="shared" ref="O437:O438" si="234">(C437+N437)</f>
        <v>3753144</v>
      </c>
      <c r="P437" s="69">
        <v>13463</v>
      </c>
      <c r="Q437" s="20">
        <f t="shared" ref="Q437:Q438" si="235">(R437-O437-P437)</f>
        <v>261521</v>
      </c>
      <c r="R437" s="69">
        <v>4028128</v>
      </c>
      <c r="S437" s="82">
        <f t="shared" ref="S437:S438" si="236">(Q437/R437)</f>
        <v>6.4923706495920691E-2</v>
      </c>
      <c r="T437" s="69">
        <v>2024568</v>
      </c>
      <c r="U437" s="2">
        <f t="shared" si="116"/>
        <v>2010</v>
      </c>
      <c r="V437" s="2">
        <f t="shared" si="117"/>
        <v>12</v>
      </c>
      <c r="W437" s="27">
        <f t="shared" ref="W437" si="237">SUM(X437:AD437)</f>
        <v>1706198</v>
      </c>
      <c r="X437" s="100">
        <v>1514485</v>
      </c>
      <c r="Y437" s="100">
        <v>163574</v>
      </c>
      <c r="Z437" s="100">
        <v>2478</v>
      </c>
      <c r="AA437" s="100">
        <v>1626</v>
      </c>
      <c r="AB437" s="100">
        <v>24017</v>
      </c>
      <c r="AC437" s="100">
        <v>4</v>
      </c>
      <c r="AD437" s="100">
        <v>14</v>
      </c>
      <c r="AE437" s="101">
        <f t="shared" ref="AE437" si="238">SUM(AC437:AD437)</f>
        <v>18</v>
      </c>
      <c r="AF437" s="101">
        <f t="shared" si="113"/>
        <v>1706180</v>
      </c>
    </row>
    <row r="438" spans="1:33">
      <c r="A438" s="2">
        <f t="shared" si="102"/>
        <v>2011</v>
      </c>
      <c r="B438" s="2">
        <f t="shared" si="138"/>
        <v>1</v>
      </c>
      <c r="C438" s="57">
        <f t="shared" si="231"/>
        <v>3470276</v>
      </c>
      <c r="D438" s="34">
        <v>1739591</v>
      </c>
      <c r="E438" s="34">
        <v>898055</v>
      </c>
      <c r="F438" s="34">
        <v>262022</v>
      </c>
      <c r="G438" s="34">
        <v>98826</v>
      </c>
      <c r="H438" s="59">
        <f t="shared" si="232"/>
        <v>163196</v>
      </c>
      <c r="I438" s="41">
        <v>2151</v>
      </c>
      <c r="J438" s="41">
        <v>245270</v>
      </c>
      <c r="K438" s="41">
        <v>149590</v>
      </c>
      <c r="L438" s="41">
        <v>173597</v>
      </c>
      <c r="M438" s="34">
        <v>1940612</v>
      </c>
      <c r="N438" s="20">
        <f t="shared" si="233"/>
        <v>-419176</v>
      </c>
      <c r="O438" s="20">
        <f t="shared" si="234"/>
        <v>3051100</v>
      </c>
      <c r="P438" s="34">
        <v>11542</v>
      </c>
      <c r="Q438" s="20">
        <f t="shared" si="235"/>
        <v>232964</v>
      </c>
      <c r="R438" s="67">
        <v>3295606</v>
      </c>
      <c r="S438" s="72">
        <f t="shared" si="236"/>
        <v>7.0689275356338108E-2</v>
      </c>
      <c r="T438" s="67">
        <v>1685330</v>
      </c>
      <c r="U438" s="2">
        <f t="shared" si="116"/>
        <v>2011</v>
      </c>
      <c r="V438" s="2">
        <f t="shared" si="117"/>
        <v>1</v>
      </c>
      <c r="W438" s="16">
        <f t="shared" ref="W438" si="239">SUM(X438:AD438)</f>
        <v>1559210</v>
      </c>
      <c r="X438" s="67">
        <v>1375237</v>
      </c>
      <c r="Y438" s="67">
        <v>156932</v>
      </c>
      <c r="Z438" s="67">
        <v>2395</v>
      </c>
      <c r="AA438" s="67">
        <v>1615</v>
      </c>
      <c r="AB438" s="67">
        <v>23014</v>
      </c>
      <c r="AC438" s="34">
        <v>4</v>
      </c>
      <c r="AD438" s="34">
        <v>13</v>
      </c>
      <c r="AE438" s="20">
        <f t="shared" ref="AE438" si="240">SUM(AC438:AD438)</f>
        <v>17</v>
      </c>
      <c r="AF438" s="20">
        <f t="shared" si="113"/>
        <v>1559193</v>
      </c>
    </row>
    <row r="439" spans="1:33">
      <c r="A439" s="2">
        <f t="shared" si="102"/>
        <v>2011</v>
      </c>
      <c r="B439" s="2">
        <f t="shared" si="138"/>
        <v>2</v>
      </c>
      <c r="C439" s="57">
        <f t="shared" ref="C439:C440" si="241">SUM(D439:F439,I439:L439)</f>
        <v>2961740</v>
      </c>
      <c r="D439" s="34">
        <v>1414735</v>
      </c>
      <c r="E439" s="34">
        <v>814973</v>
      </c>
      <c r="F439" s="34">
        <v>265854</v>
      </c>
      <c r="G439" s="34">
        <v>96490</v>
      </c>
      <c r="H439" s="59">
        <f t="shared" ref="H439" si="242">(F439-G439)</f>
        <v>169364</v>
      </c>
      <c r="I439" s="41">
        <v>2117</v>
      </c>
      <c r="J439" s="41">
        <v>234860</v>
      </c>
      <c r="K439" s="41">
        <v>116345</v>
      </c>
      <c r="L439" s="41">
        <v>112856</v>
      </c>
      <c r="M439" s="34">
        <v>1572273</v>
      </c>
      <c r="N439" s="20">
        <f t="shared" ref="N439" si="243">(M439-M438)</f>
        <v>-368339</v>
      </c>
      <c r="O439" s="20">
        <f t="shared" ref="O439" si="244">(C439+N439)</f>
        <v>2593401</v>
      </c>
      <c r="P439" s="34">
        <v>11851</v>
      </c>
      <c r="Q439" s="20">
        <f t="shared" ref="Q439" si="245">(R439-O439-P439)</f>
        <v>148422</v>
      </c>
      <c r="R439" s="67">
        <v>2753674</v>
      </c>
      <c r="S439" s="72">
        <f t="shared" ref="S439" si="246">(Q439/R439)</f>
        <v>5.3899626462682218E-2</v>
      </c>
      <c r="T439" s="67">
        <v>1462659</v>
      </c>
      <c r="U439" s="2">
        <f t="shared" si="116"/>
        <v>2011</v>
      </c>
      <c r="V439" s="2">
        <f t="shared" si="117"/>
        <v>2</v>
      </c>
      <c r="W439" s="16">
        <f t="shared" ref="W439" si="247">SUM(X439:AD439)</f>
        <v>1643067</v>
      </c>
      <c r="X439" s="67">
        <v>1453415</v>
      </c>
      <c r="Y439" s="67">
        <v>161830</v>
      </c>
      <c r="Z439" s="67">
        <v>2485</v>
      </c>
      <c r="AA439" s="67">
        <v>1598</v>
      </c>
      <c r="AB439" s="67">
        <v>23721</v>
      </c>
      <c r="AC439" s="34">
        <v>5</v>
      </c>
      <c r="AD439" s="34">
        <v>13</v>
      </c>
      <c r="AE439" s="20">
        <f t="shared" ref="AE439" si="248">SUM(AC439:AD439)</f>
        <v>18</v>
      </c>
      <c r="AF439" s="20">
        <f t="shared" si="113"/>
        <v>1643049</v>
      </c>
    </row>
    <row r="440" spans="1:33">
      <c r="A440" s="2">
        <f t="shared" si="102"/>
        <v>2011</v>
      </c>
      <c r="B440" s="2">
        <f t="shared" si="138"/>
        <v>3</v>
      </c>
      <c r="C440" s="57">
        <f t="shared" si="241"/>
        <v>2554058</v>
      </c>
      <c r="D440" s="34">
        <v>1126721</v>
      </c>
      <c r="E440" s="34">
        <v>833624</v>
      </c>
      <c r="F440" s="34">
        <v>244090</v>
      </c>
      <c r="G440" s="34">
        <v>83249</v>
      </c>
      <c r="H440" s="59">
        <f t="shared" ref="H440" si="249">(F440-G440)</f>
        <v>160841</v>
      </c>
      <c r="I440" s="41">
        <v>2074</v>
      </c>
      <c r="J440" s="41">
        <v>240787</v>
      </c>
      <c r="K440" s="41">
        <v>39889</v>
      </c>
      <c r="L440" s="41">
        <v>66873</v>
      </c>
      <c r="M440" s="34">
        <v>1803400</v>
      </c>
      <c r="N440" s="20">
        <f t="shared" ref="N440" si="250">(M440-M439)</f>
        <v>231127</v>
      </c>
      <c r="O440" s="20">
        <f t="shared" ref="O440" si="251">(C440+N440)</f>
        <v>2785185</v>
      </c>
      <c r="P440" s="34">
        <v>19690</v>
      </c>
      <c r="Q440" s="20">
        <f t="shared" ref="Q440" si="252">(R440-O440-P440)</f>
        <v>182582</v>
      </c>
      <c r="R440" s="67">
        <v>2987457</v>
      </c>
      <c r="S440" s="72">
        <f t="shared" ref="S440" si="253">(Q440/R440)</f>
        <v>6.1116193471571309E-2</v>
      </c>
      <c r="T440" s="67">
        <v>1669093</v>
      </c>
      <c r="U440" s="2">
        <f t="shared" si="116"/>
        <v>2011</v>
      </c>
      <c r="V440" s="2">
        <f t="shared" si="117"/>
        <v>3</v>
      </c>
      <c r="W440" s="16">
        <f t="shared" ref="W440" si="254">SUM(X440:AD440)</f>
        <v>1559107</v>
      </c>
      <c r="X440" s="67">
        <v>1375808</v>
      </c>
      <c r="Y440" s="67">
        <v>156319</v>
      </c>
      <c r="Z440" s="67">
        <v>2397</v>
      </c>
      <c r="AA440" s="67">
        <v>1574</v>
      </c>
      <c r="AB440" s="67">
        <v>22993</v>
      </c>
      <c r="AC440" s="34">
        <v>5</v>
      </c>
      <c r="AD440" s="34">
        <v>11</v>
      </c>
      <c r="AE440" s="20">
        <f t="shared" ref="AE440" si="255">SUM(AC440:AD440)</f>
        <v>16</v>
      </c>
      <c r="AF440" s="20">
        <f t="shared" si="113"/>
        <v>1559091</v>
      </c>
    </row>
    <row r="441" spans="1:33">
      <c r="A441" s="2">
        <f t="shared" si="102"/>
        <v>2011</v>
      </c>
      <c r="B441" s="2">
        <f t="shared" si="138"/>
        <v>4</v>
      </c>
      <c r="C441" s="57">
        <f t="shared" ref="C441" si="256">SUM(D441:F441,I441:L441)</f>
        <v>2817414</v>
      </c>
      <c r="D441" s="34">
        <v>1258745</v>
      </c>
      <c r="E441" s="34">
        <v>913903</v>
      </c>
      <c r="F441" s="34">
        <v>261361</v>
      </c>
      <c r="G441" s="34">
        <v>85200</v>
      </c>
      <c r="H441" s="59">
        <f t="shared" ref="H441" si="257">(F441-G441)</f>
        <v>176161</v>
      </c>
      <c r="I441" s="41">
        <v>1985</v>
      </c>
      <c r="J441" s="41">
        <v>251738</v>
      </c>
      <c r="K441" s="41">
        <v>54843</v>
      </c>
      <c r="L441" s="41">
        <v>74839</v>
      </c>
      <c r="M441" s="34">
        <v>2247781</v>
      </c>
      <c r="N441" s="20">
        <f t="shared" ref="N441" si="258">(M441-M440)</f>
        <v>444381</v>
      </c>
      <c r="O441" s="20">
        <f t="shared" ref="O441" si="259">(C441+N441)</f>
        <v>3261795</v>
      </c>
      <c r="P441" s="34">
        <v>13846</v>
      </c>
      <c r="Q441" s="20">
        <f t="shared" ref="Q441" si="260">(R441-O441-P441)</f>
        <v>259097</v>
      </c>
      <c r="R441" s="67">
        <v>3534738</v>
      </c>
      <c r="S441" s="72">
        <f t="shared" ref="S441" si="261">(Q441/R441)</f>
        <v>7.3300199335848942E-2</v>
      </c>
      <c r="T441" s="67">
        <v>1989132</v>
      </c>
      <c r="U441" s="2">
        <f t="shared" si="116"/>
        <v>2011</v>
      </c>
      <c r="V441" s="2">
        <f t="shared" si="117"/>
        <v>4</v>
      </c>
      <c r="W441" s="16">
        <f t="shared" ref="W441" si="262">SUM(X441:AD441)</f>
        <v>1633701</v>
      </c>
      <c r="X441" s="67">
        <v>1444384</v>
      </c>
      <c r="Y441" s="67">
        <v>161651</v>
      </c>
      <c r="Z441" s="67">
        <v>2430</v>
      </c>
      <c r="AA441" s="67">
        <v>1577</v>
      </c>
      <c r="AB441" s="67">
        <v>23644</v>
      </c>
      <c r="AC441" s="34">
        <v>4</v>
      </c>
      <c r="AD441" s="34">
        <v>11</v>
      </c>
      <c r="AE441" s="20">
        <f t="shared" ref="AE441" si="263">SUM(AC441:AD441)</f>
        <v>15</v>
      </c>
      <c r="AF441" s="20">
        <f t="shared" si="113"/>
        <v>1633686</v>
      </c>
    </row>
    <row r="442" spans="1:33">
      <c r="A442" s="2">
        <f t="shared" ref="A442:A473" si="264">A430+1</f>
        <v>2011</v>
      </c>
      <c r="B442" s="2">
        <f t="shared" si="138"/>
        <v>5</v>
      </c>
      <c r="C442" s="57">
        <f t="shared" ref="C442" si="265">SUM(D442:F442,I442:L442)</f>
        <v>3443691</v>
      </c>
      <c r="D442" s="34">
        <v>1589560</v>
      </c>
      <c r="E442" s="34">
        <v>1019182</v>
      </c>
      <c r="F442" s="34">
        <v>299905</v>
      </c>
      <c r="G442" s="34">
        <v>110470</v>
      </c>
      <c r="H442" s="59">
        <f t="shared" ref="H442" si="266">(F442-G442)</f>
        <v>189435</v>
      </c>
      <c r="I442" s="41">
        <v>2105</v>
      </c>
      <c r="J442" s="41">
        <v>277889</v>
      </c>
      <c r="K442" s="41">
        <v>135119</v>
      </c>
      <c r="L442" s="41">
        <v>119931</v>
      </c>
      <c r="M442" s="34">
        <v>2422131</v>
      </c>
      <c r="N442" s="20">
        <f t="shared" ref="N442" si="267">(M442-M441)</f>
        <v>174350</v>
      </c>
      <c r="O442" s="20">
        <f t="shared" ref="O442" si="268">(C442+N442)</f>
        <v>3618041</v>
      </c>
      <c r="P442" s="34">
        <v>12941</v>
      </c>
      <c r="Q442" s="20">
        <f t="shared" ref="Q442" si="269">(R442-O442-P442)</f>
        <v>252839</v>
      </c>
      <c r="R442" s="67">
        <v>3883821</v>
      </c>
      <c r="S442" s="72">
        <f t="shared" ref="S442" si="270">(Q442/R442)</f>
        <v>6.5100580073077521E-2</v>
      </c>
      <c r="T442" s="67">
        <v>2157948</v>
      </c>
      <c r="U442" s="2">
        <f t="shared" si="116"/>
        <v>2011</v>
      </c>
      <c r="V442" s="2">
        <f t="shared" si="117"/>
        <v>5</v>
      </c>
      <c r="W442" s="16">
        <f t="shared" ref="W442" si="271">SUM(X442:AD442)</f>
        <v>1643207</v>
      </c>
      <c r="X442" s="67">
        <v>1453925</v>
      </c>
      <c r="Y442" s="67">
        <v>161693</v>
      </c>
      <c r="Z442" s="67">
        <v>2414</v>
      </c>
      <c r="AA442" s="67">
        <v>1576</v>
      </c>
      <c r="AB442" s="67">
        <v>23584</v>
      </c>
      <c r="AC442" s="34">
        <v>4</v>
      </c>
      <c r="AD442" s="34">
        <v>11</v>
      </c>
      <c r="AE442" s="20">
        <f t="shared" ref="AE442" si="272">SUM(AC442:AD442)</f>
        <v>15</v>
      </c>
      <c r="AF442" s="20">
        <f t="shared" si="113"/>
        <v>1643192</v>
      </c>
    </row>
    <row r="443" spans="1:33">
      <c r="A443" s="2">
        <f t="shared" si="264"/>
        <v>2011</v>
      </c>
      <c r="B443" s="2">
        <f t="shared" si="138"/>
        <v>6</v>
      </c>
      <c r="C443" s="57">
        <f t="shared" ref="C443" si="273">SUM(D443:F443,I443:L443)</f>
        <v>3753897</v>
      </c>
      <c r="D443" s="34">
        <v>1833100</v>
      </c>
      <c r="E443" s="34">
        <v>1098545</v>
      </c>
      <c r="F443" s="34">
        <v>287783</v>
      </c>
      <c r="G443" s="34">
        <v>89357</v>
      </c>
      <c r="H443" s="59">
        <f t="shared" ref="H443" si="274">(F443-G443)</f>
        <v>198426</v>
      </c>
      <c r="I443" s="41">
        <v>2073</v>
      </c>
      <c r="J443" s="41">
        <v>286214</v>
      </c>
      <c r="K443" s="41">
        <v>123038</v>
      </c>
      <c r="L443" s="41">
        <v>123144</v>
      </c>
      <c r="M443" s="34">
        <v>2630009</v>
      </c>
      <c r="N443" s="20">
        <f t="shared" ref="N443" si="275">(M443-M442)</f>
        <v>207878</v>
      </c>
      <c r="O443" s="20">
        <f t="shared" ref="O443" si="276">(C443+N443)</f>
        <v>3961775</v>
      </c>
      <c r="P443" s="34">
        <v>12329</v>
      </c>
      <c r="Q443" s="20">
        <f t="shared" ref="Q443" si="277">(R443-O443-P443)</f>
        <v>278468</v>
      </c>
      <c r="R443" s="67">
        <v>4252572</v>
      </c>
      <c r="S443" s="72">
        <f t="shared" ref="S443" si="278">(Q443/R443)</f>
        <v>6.5482254033558979E-2</v>
      </c>
      <c r="T443" s="67">
        <v>2333214</v>
      </c>
      <c r="U443" s="2">
        <f t="shared" si="116"/>
        <v>2011</v>
      </c>
      <c r="V443" s="2">
        <f t="shared" si="117"/>
        <v>6</v>
      </c>
      <c r="W443" s="16">
        <f t="shared" ref="W443" si="279">SUM(X443:AD443)</f>
        <v>1643932</v>
      </c>
      <c r="X443" s="67">
        <v>1453806</v>
      </c>
      <c r="Y443" s="67">
        <v>162558</v>
      </c>
      <c r="Z443" s="67">
        <v>2414</v>
      </c>
      <c r="AA443" s="67">
        <v>1569</v>
      </c>
      <c r="AB443" s="67">
        <v>23570</v>
      </c>
      <c r="AC443" s="34">
        <v>4</v>
      </c>
      <c r="AD443" s="34">
        <v>11</v>
      </c>
      <c r="AE443" s="20">
        <f t="shared" ref="AE443" si="280">SUM(AC443:AD443)</f>
        <v>15</v>
      </c>
      <c r="AF443" s="20">
        <f t="shared" si="113"/>
        <v>1643917</v>
      </c>
    </row>
    <row r="444" spans="1:33">
      <c r="A444" s="2">
        <f t="shared" si="264"/>
        <v>2011</v>
      </c>
      <c r="B444" s="2">
        <f t="shared" si="138"/>
        <v>7</v>
      </c>
      <c r="C444" s="57">
        <f t="shared" ref="C444" si="281">SUM(D444:F444,I444:L444)</f>
        <v>3947647</v>
      </c>
      <c r="D444" s="34">
        <v>1986293</v>
      </c>
      <c r="E444" s="34">
        <v>1112858</v>
      </c>
      <c r="F444" s="34">
        <v>266234</v>
      </c>
      <c r="G444" s="34">
        <v>87307</v>
      </c>
      <c r="H444" s="59">
        <f t="shared" ref="H444" si="282">(F444-G444)</f>
        <v>178927</v>
      </c>
      <c r="I444" s="41">
        <v>2043</v>
      </c>
      <c r="J444" s="41">
        <v>274724</v>
      </c>
      <c r="K444" s="41">
        <v>167412</v>
      </c>
      <c r="L444" s="41">
        <v>138083</v>
      </c>
      <c r="M444" s="34">
        <v>2731975</v>
      </c>
      <c r="N444" s="20">
        <f t="shared" ref="N444" si="283">(M444-M443)</f>
        <v>101966</v>
      </c>
      <c r="O444" s="20">
        <f t="shared" ref="O444" si="284">(C444+N444)</f>
        <v>4049613</v>
      </c>
      <c r="P444" s="34">
        <v>12359</v>
      </c>
      <c r="Q444" s="20">
        <f t="shared" ref="Q444" si="285">(R444-O444-P444)</f>
        <v>333422</v>
      </c>
      <c r="R444" s="67">
        <v>4395394</v>
      </c>
      <c r="S444" s="72">
        <f t="shared" ref="S444" si="286">(Q444/R444)</f>
        <v>7.5857135901809938E-2</v>
      </c>
      <c r="T444" s="67">
        <v>2457065</v>
      </c>
      <c r="U444" s="2">
        <f t="shared" si="116"/>
        <v>2011</v>
      </c>
      <c r="V444" s="2">
        <f t="shared" si="117"/>
        <v>7</v>
      </c>
      <c r="W444" s="16">
        <f t="shared" ref="W444" si="287">SUM(X444:AD444)</f>
        <v>1636049</v>
      </c>
      <c r="X444" s="67">
        <v>1448126</v>
      </c>
      <c r="Y444" s="67">
        <v>160697</v>
      </c>
      <c r="Z444" s="67">
        <v>2334</v>
      </c>
      <c r="AA444" s="67">
        <v>1568</v>
      </c>
      <c r="AB444" s="67">
        <v>23309</v>
      </c>
      <c r="AC444" s="34">
        <v>4</v>
      </c>
      <c r="AD444" s="34">
        <v>11</v>
      </c>
      <c r="AE444" s="20">
        <f t="shared" ref="AE444" si="288">SUM(AC444:AD444)</f>
        <v>15</v>
      </c>
      <c r="AF444" s="20">
        <f t="shared" si="113"/>
        <v>1636034</v>
      </c>
    </row>
    <row r="445" spans="1:33">
      <c r="A445" s="2">
        <f t="shared" si="264"/>
        <v>2011</v>
      </c>
      <c r="B445" s="2">
        <f t="shared" si="138"/>
        <v>8</v>
      </c>
      <c r="C445" s="57">
        <f t="shared" ref="C445" si="289">SUM(D445:F445,I445:L445)</f>
        <v>4267935</v>
      </c>
      <c r="D445" s="34">
        <v>2186530</v>
      </c>
      <c r="E445" s="34">
        <v>1216737</v>
      </c>
      <c r="F445" s="34">
        <v>296266</v>
      </c>
      <c r="G445" s="34">
        <v>92483</v>
      </c>
      <c r="H445" s="59">
        <f t="shared" ref="H445" si="290">(F445-G445)</f>
        <v>203783</v>
      </c>
      <c r="I445" s="41">
        <v>2090</v>
      </c>
      <c r="J445" s="41">
        <v>281879</v>
      </c>
      <c r="K445" s="41">
        <v>136630</v>
      </c>
      <c r="L445" s="41">
        <v>147803</v>
      </c>
      <c r="M445" s="34">
        <v>2751190</v>
      </c>
      <c r="N445" s="20">
        <f t="shared" ref="N445" si="291">(M445-M444)</f>
        <v>19215</v>
      </c>
      <c r="O445" s="20">
        <f t="shared" ref="O445" si="292">(C445+N445)</f>
        <v>4287150</v>
      </c>
      <c r="P445" s="34">
        <v>12160</v>
      </c>
      <c r="Q445" s="20">
        <f t="shared" ref="Q445" si="293">(R445-O445-P445)</f>
        <v>253750</v>
      </c>
      <c r="R445" s="67">
        <v>4553060</v>
      </c>
      <c r="S445" s="72">
        <f t="shared" ref="S445" si="294">(Q445/R445)</f>
        <v>5.5731749636508197E-2</v>
      </c>
      <c r="T445" s="67">
        <v>2450387</v>
      </c>
      <c r="U445" s="2">
        <f t="shared" si="116"/>
        <v>2011</v>
      </c>
      <c r="V445" s="2">
        <f t="shared" si="117"/>
        <v>8</v>
      </c>
      <c r="W445" s="16">
        <f t="shared" ref="W445" si="295">SUM(X445:AD445)</f>
        <v>1735842</v>
      </c>
      <c r="X445" s="67">
        <v>1537933</v>
      </c>
      <c r="Y445" s="67">
        <v>169440</v>
      </c>
      <c r="Z445" s="67">
        <v>2443</v>
      </c>
      <c r="AA445" s="67">
        <v>1570</v>
      </c>
      <c r="AB445" s="67">
        <v>24441</v>
      </c>
      <c r="AC445" s="34">
        <v>4</v>
      </c>
      <c r="AD445" s="34">
        <v>11</v>
      </c>
      <c r="AE445" s="20">
        <f t="shared" ref="AE445" si="296">SUM(AC445:AD445)</f>
        <v>15</v>
      </c>
      <c r="AF445" s="20">
        <f t="shared" si="113"/>
        <v>1735827</v>
      </c>
    </row>
    <row r="446" spans="1:33">
      <c r="A446" s="2">
        <f t="shared" si="264"/>
        <v>2011</v>
      </c>
      <c r="B446" s="2">
        <f t="shared" si="138"/>
        <v>9</v>
      </c>
      <c r="C446" s="57">
        <f t="shared" ref="C446" si="297">SUM(D446:F446,I446:L446)</f>
        <v>4031180</v>
      </c>
      <c r="D446" s="34">
        <v>2008611</v>
      </c>
      <c r="E446" s="34">
        <v>1128878</v>
      </c>
      <c r="F446" s="34">
        <v>275919</v>
      </c>
      <c r="G446" s="34">
        <v>91499</v>
      </c>
      <c r="H446" s="59">
        <f t="shared" ref="H446" si="298">(F446-G446)</f>
        <v>184420</v>
      </c>
      <c r="I446" s="41">
        <v>2054</v>
      </c>
      <c r="J446" s="41">
        <v>306272</v>
      </c>
      <c r="K446" s="41">
        <v>156247</v>
      </c>
      <c r="L446" s="41">
        <v>153199</v>
      </c>
      <c r="M446" s="34">
        <v>2376881</v>
      </c>
      <c r="N446" s="20">
        <f t="shared" ref="N446" si="299">(M446-M445)</f>
        <v>-374309</v>
      </c>
      <c r="O446" s="20">
        <f t="shared" ref="O446" si="300">(C446+N446)</f>
        <v>3656871</v>
      </c>
      <c r="P446" s="34">
        <v>15043</v>
      </c>
      <c r="Q446" s="20">
        <f t="shared" ref="Q446" si="301">(R446-O446-P446)</f>
        <v>320074</v>
      </c>
      <c r="R446" s="67">
        <v>3991988</v>
      </c>
      <c r="S446" s="72">
        <f t="shared" ref="S446" si="302">(Q446/R446)</f>
        <v>8.0179098734765739E-2</v>
      </c>
      <c r="T446" s="67">
        <v>2140291</v>
      </c>
      <c r="U446" s="2">
        <f t="shared" si="116"/>
        <v>2011</v>
      </c>
      <c r="V446" s="2">
        <f t="shared" si="117"/>
        <v>9</v>
      </c>
      <c r="W446" s="16">
        <f t="shared" ref="W446" si="303">SUM(X446:AD446)</f>
        <v>1639493</v>
      </c>
      <c r="X446" s="67">
        <v>1450147</v>
      </c>
      <c r="Y446" s="67">
        <v>161849</v>
      </c>
      <c r="Z446" s="67">
        <v>2417</v>
      </c>
      <c r="AA446" s="67">
        <v>1558</v>
      </c>
      <c r="AB446" s="67">
        <v>23508</v>
      </c>
      <c r="AC446" s="34">
        <v>4</v>
      </c>
      <c r="AD446" s="34">
        <v>10</v>
      </c>
      <c r="AE446" s="20">
        <f t="shared" ref="AE446" si="304">SUM(AC446:AD446)</f>
        <v>14</v>
      </c>
      <c r="AF446" s="20">
        <f t="shared" si="113"/>
        <v>1639479</v>
      </c>
      <c r="AG446" s="20"/>
    </row>
    <row r="447" spans="1:33">
      <c r="A447" s="2">
        <f t="shared" si="264"/>
        <v>2011</v>
      </c>
      <c r="B447" s="2">
        <f t="shared" si="138"/>
        <v>10</v>
      </c>
      <c r="C447" s="57">
        <f t="shared" ref="C447" si="305">SUM(D447:F447,I447:L447)</f>
        <v>3424641</v>
      </c>
      <c r="D447" s="34">
        <v>1582608</v>
      </c>
      <c r="E447" s="34">
        <v>1043831</v>
      </c>
      <c r="F447" s="34">
        <v>269587</v>
      </c>
      <c r="G447" s="34">
        <v>93754</v>
      </c>
      <c r="H447" s="59">
        <f t="shared" ref="H447" si="306">(F447-G447)</f>
        <v>175833</v>
      </c>
      <c r="I447" s="58">
        <v>2037</v>
      </c>
      <c r="J447" s="41">
        <v>291065</v>
      </c>
      <c r="K447" s="41">
        <v>107014</v>
      </c>
      <c r="L447" s="41">
        <v>128499</v>
      </c>
      <c r="M447" s="34">
        <v>1900431</v>
      </c>
      <c r="N447" s="20">
        <f t="shared" ref="N447" si="307">(M447-M446)</f>
        <v>-476450</v>
      </c>
      <c r="O447" s="20">
        <f t="shared" ref="O447" si="308">(C447+N447)</f>
        <v>2948191</v>
      </c>
      <c r="P447" s="34">
        <v>12921</v>
      </c>
      <c r="Q447" s="20">
        <f t="shared" ref="Q447" si="309">(R447-O447-P447)</f>
        <v>226078</v>
      </c>
      <c r="R447" s="67">
        <v>3187190</v>
      </c>
      <c r="S447" s="72">
        <f t="shared" ref="S447" si="310">(Q447/R447)</f>
        <v>7.0933329986602622E-2</v>
      </c>
      <c r="T447" s="67">
        <v>1717220</v>
      </c>
      <c r="U447" s="2">
        <f t="shared" si="116"/>
        <v>2011</v>
      </c>
      <c r="V447" s="2">
        <f t="shared" si="117"/>
        <v>10</v>
      </c>
      <c r="W447" s="16">
        <f t="shared" ref="W447" si="311">SUM(X447:AD447)</f>
        <v>1549307</v>
      </c>
      <c r="X447" s="67">
        <v>1365216</v>
      </c>
      <c r="Y447" s="67">
        <v>156948</v>
      </c>
      <c r="Z447" s="67">
        <v>2379</v>
      </c>
      <c r="AA447" s="67">
        <v>1549</v>
      </c>
      <c r="AB447" s="67">
        <v>23200</v>
      </c>
      <c r="AC447" s="34">
        <v>4</v>
      </c>
      <c r="AD447" s="34">
        <v>11</v>
      </c>
      <c r="AE447" s="20">
        <f t="shared" ref="AE447" si="312">SUM(AC447:AD447)</f>
        <v>15</v>
      </c>
      <c r="AF447" s="20">
        <f t="shared" ref="AF447" si="313">SUM(X447:AB447)</f>
        <v>1549292</v>
      </c>
      <c r="AG447" s="20"/>
    </row>
    <row r="448" spans="1:33">
      <c r="A448" s="2">
        <f t="shared" si="264"/>
        <v>2011</v>
      </c>
      <c r="B448" s="2">
        <f t="shared" si="138"/>
        <v>11</v>
      </c>
      <c r="C448" s="57">
        <f t="shared" ref="C448" si="314">SUM(D448:F448,I448:L448)</f>
        <v>2961225</v>
      </c>
      <c r="D448" s="34">
        <v>1316925</v>
      </c>
      <c r="E448" s="34">
        <v>932105</v>
      </c>
      <c r="F448" s="34">
        <v>268193</v>
      </c>
      <c r="G448" s="34">
        <v>94256</v>
      </c>
      <c r="H448" s="59">
        <f t="shared" ref="H448" si="315">(F448-G448)</f>
        <v>173937</v>
      </c>
      <c r="I448" s="41">
        <v>2093</v>
      </c>
      <c r="J448" s="41">
        <v>261712</v>
      </c>
      <c r="K448" s="41">
        <v>86995</v>
      </c>
      <c r="L448" s="41">
        <v>93202</v>
      </c>
      <c r="M448" s="34">
        <v>1610544</v>
      </c>
      <c r="N448" s="20">
        <f t="shared" ref="N448" si="316">(M448-M447)</f>
        <v>-289887</v>
      </c>
      <c r="O448" s="20">
        <f t="shared" ref="O448" si="317">(C448+N448)</f>
        <v>2671338</v>
      </c>
      <c r="P448" s="34">
        <v>11737</v>
      </c>
      <c r="Q448" s="20">
        <f t="shared" ref="Q448" si="318">(R448-O448-P448)</f>
        <v>106176</v>
      </c>
      <c r="R448" s="67">
        <v>2789251</v>
      </c>
      <c r="S448" s="72">
        <f t="shared" ref="S448" si="319">(Q448/R448)</f>
        <v>3.8066133166215592E-2</v>
      </c>
      <c r="T448" s="67">
        <v>1501159</v>
      </c>
      <c r="U448" s="2">
        <f t="shared" si="116"/>
        <v>2011</v>
      </c>
      <c r="V448" s="2">
        <f t="shared" si="117"/>
        <v>11</v>
      </c>
      <c r="W448" s="16">
        <f t="shared" ref="W448" si="320">SUM(X448:AD448)</f>
        <v>1799811</v>
      </c>
      <c r="X448" s="67">
        <v>1597874</v>
      </c>
      <c r="Y448" s="67">
        <v>173104</v>
      </c>
      <c r="Z448" s="67">
        <v>2432</v>
      </c>
      <c r="AA448" s="67">
        <v>1554</v>
      </c>
      <c r="AB448" s="67">
        <v>24832</v>
      </c>
      <c r="AC448" s="34">
        <v>4</v>
      </c>
      <c r="AD448" s="34">
        <v>11</v>
      </c>
      <c r="AE448" s="20">
        <f t="shared" ref="AE448" si="321">SUM(AC448:AD448)</f>
        <v>15</v>
      </c>
      <c r="AF448" s="20">
        <f t="shared" ref="AF448" si="322">SUM(X448:AB448)</f>
        <v>1799796</v>
      </c>
      <c r="AG448" s="20"/>
    </row>
    <row r="449" spans="1:33" s="26" customFormat="1" ht="15">
      <c r="A449" s="26">
        <f t="shared" si="264"/>
        <v>2011</v>
      </c>
      <c r="B449" s="26">
        <f t="shared" si="138"/>
        <v>12</v>
      </c>
      <c r="C449" s="61">
        <f t="shared" ref="C449:C450" si="323">SUM(D449:F449,I449:L449)</f>
        <v>2675628</v>
      </c>
      <c r="D449" s="13">
        <v>1194416</v>
      </c>
      <c r="E449" s="13">
        <v>879119</v>
      </c>
      <c r="F449" s="13">
        <v>245524</v>
      </c>
      <c r="G449" s="13">
        <v>85134</v>
      </c>
      <c r="H449" s="63">
        <f t="shared" ref="H449:H450" si="324">(F449-G449)</f>
        <v>160390</v>
      </c>
      <c r="I449" s="43">
        <v>2061</v>
      </c>
      <c r="J449" s="43">
        <v>247261</v>
      </c>
      <c r="K449" s="43">
        <v>29225</v>
      </c>
      <c r="L449" s="43">
        <v>78022</v>
      </c>
      <c r="M449" s="13">
        <v>1578442</v>
      </c>
      <c r="N449" s="47">
        <f t="shared" ref="N449:N450" si="325">(M449-M448)</f>
        <v>-32102</v>
      </c>
      <c r="O449" s="47">
        <f t="shared" ref="O449:O450" si="326">(C449+N449)</f>
        <v>2643526</v>
      </c>
      <c r="P449" s="13">
        <v>15181</v>
      </c>
      <c r="Q449" s="47">
        <f t="shared" ref="Q449:Q450" si="327">(R449-O449-P449)</f>
        <v>206526</v>
      </c>
      <c r="R449" s="69">
        <v>2865233</v>
      </c>
      <c r="S449" s="82">
        <f t="shared" ref="S449:S450" si="328">(Q449/R449)</f>
        <v>7.2080001870703014E-2</v>
      </c>
      <c r="T449" s="69">
        <v>1395934</v>
      </c>
      <c r="U449" s="26">
        <f t="shared" si="116"/>
        <v>2011</v>
      </c>
      <c r="V449" s="26">
        <f t="shared" si="117"/>
        <v>12</v>
      </c>
      <c r="W449" s="27">
        <f t="shared" ref="W449" si="329">SUM(X449:AD449)</f>
        <v>1663201</v>
      </c>
      <c r="X449" s="100">
        <v>1473580</v>
      </c>
      <c r="Y449" s="100">
        <v>161833</v>
      </c>
      <c r="Z449" s="100">
        <v>2359</v>
      </c>
      <c r="AA449" s="100">
        <v>1550</v>
      </c>
      <c r="AB449" s="100">
        <v>23864</v>
      </c>
      <c r="AC449" s="13">
        <v>4</v>
      </c>
      <c r="AD449" s="13">
        <v>11</v>
      </c>
      <c r="AE449" s="47">
        <f t="shared" ref="AE449" si="330">SUM(AC449:AD449)</f>
        <v>15</v>
      </c>
      <c r="AF449" s="47">
        <f t="shared" ref="AF449" si="331">SUM(X449:AB449)</f>
        <v>1663186</v>
      </c>
      <c r="AG449" s="20"/>
    </row>
    <row r="450" spans="1:33">
      <c r="A450" s="2">
        <f t="shared" si="264"/>
        <v>2012</v>
      </c>
      <c r="B450" s="2">
        <f t="shared" si="138"/>
        <v>1</v>
      </c>
      <c r="C450" s="57">
        <f t="shared" si="323"/>
        <v>2767857</v>
      </c>
      <c r="D450" s="34">
        <v>1305112</v>
      </c>
      <c r="E450" s="34">
        <v>881436</v>
      </c>
      <c r="F450" s="34">
        <v>248421</v>
      </c>
      <c r="G450" s="34">
        <f>[1]Monthly!$P294</f>
        <v>85513</v>
      </c>
      <c r="H450" s="59">
        <f t="shared" si="324"/>
        <v>162908</v>
      </c>
      <c r="I450" s="34">
        <v>2061</v>
      </c>
      <c r="J450" s="34">
        <v>236773</v>
      </c>
      <c r="K450" s="34">
        <v>28628</v>
      </c>
      <c r="L450" s="34">
        <v>65426</v>
      </c>
      <c r="M450" s="34">
        <v>1681750</v>
      </c>
      <c r="N450" s="20">
        <f t="shared" si="325"/>
        <v>103308</v>
      </c>
      <c r="O450" s="20">
        <f t="shared" si="326"/>
        <v>2871165</v>
      </c>
      <c r="P450" s="34">
        <v>17713</v>
      </c>
      <c r="Q450" s="20">
        <f t="shared" si="327"/>
        <v>208136</v>
      </c>
      <c r="R450" s="67">
        <v>3097014</v>
      </c>
      <c r="S450" s="72">
        <f t="shared" si="328"/>
        <v>6.7205379116787978E-2</v>
      </c>
      <c r="T450" s="67">
        <v>1561541</v>
      </c>
      <c r="U450" s="2">
        <f t="shared" si="116"/>
        <v>2012</v>
      </c>
      <c r="V450" s="2">
        <f t="shared" si="117"/>
        <v>1</v>
      </c>
      <c r="W450" s="16">
        <f t="shared" ref="W450" si="332">SUM(X450:AD450)</f>
        <v>1573783</v>
      </c>
      <c r="X450" s="67">
        <v>1387413</v>
      </c>
      <c r="Y450" s="67">
        <v>159179</v>
      </c>
      <c r="Z450" s="67">
        <v>2391</v>
      </c>
      <c r="AA450" s="67">
        <v>1544</v>
      </c>
      <c r="AB450" s="67">
        <v>23241</v>
      </c>
      <c r="AC450" s="34">
        <v>4</v>
      </c>
      <c r="AD450" s="34">
        <v>11</v>
      </c>
      <c r="AE450" s="20">
        <f t="shared" ref="AE450" si="333">SUM(AC450:AD450)</f>
        <v>15</v>
      </c>
      <c r="AF450" s="20">
        <f t="shared" ref="AF450" si="334">SUM(X450:AB450)</f>
        <v>1573768</v>
      </c>
      <c r="AG450" s="20"/>
    </row>
    <row r="451" spans="1:33">
      <c r="A451" s="2">
        <f t="shared" si="264"/>
        <v>2012</v>
      </c>
      <c r="B451" s="2">
        <f t="shared" si="138"/>
        <v>2</v>
      </c>
      <c r="C451" s="57">
        <f t="shared" ref="C451" si="335">SUM(D451:F451,I451:L451)</f>
        <v>2617400</v>
      </c>
      <c r="D451" s="34">
        <v>1161110</v>
      </c>
      <c r="E451" s="34">
        <v>816900</v>
      </c>
      <c r="F451" s="34">
        <v>253164</v>
      </c>
      <c r="G451" s="34">
        <f>[1]Monthly!$P295</f>
        <v>88547</v>
      </c>
      <c r="H451" s="59">
        <f t="shared" ref="H451" si="336">(F451-G451)</f>
        <v>164617</v>
      </c>
      <c r="I451" s="34">
        <v>2101</v>
      </c>
      <c r="J451" s="34">
        <v>265269</v>
      </c>
      <c r="K451" s="34">
        <v>48765</v>
      </c>
      <c r="L451" s="34">
        <v>70091</v>
      </c>
      <c r="M451" s="34">
        <v>1672992</v>
      </c>
      <c r="N451" s="20">
        <f t="shared" ref="N451" si="337">(M451-M450)</f>
        <v>-8758</v>
      </c>
      <c r="O451" s="20">
        <f t="shared" ref="O451" si="338">(C451+N451)</f>
        <v>2608642</v>
      </c>
      <c r="P451" s="34">
        <v>10781</v>
      </c>
      <c r="Q451" s="20">
        <f t="shared" ref="Q451" si="339">(R451-O451-P451)</f>
        <v>179397</v>
      </c>
      <c r="R451" s="67">
        <v>2798820</v>
      </c>
      <c r="S451" s="72">
        <f t="shared" ref="S451" si="340">(Q451/R451)</f>
        <v>6.4097369605762428E-2</v>
      </c>
      <c r="T451" s="67">
        <v>1540886</v>
      </c>
      <c r="U451" s="2">
        <f t="shared" si="116"/>
        <v>2012</v>
      </c>
      <c r="V451" s="2">
        <f t="shared" si="117"/>
        <v>2</v>
      </c>
      <c r="W451" s="16">
        <f t="shared" ref="W451" si="341">SUM(X451:AD451)</f>
        <v>1562288</v>
      </c>
      <c r="X451" s="67">
        <v>1376771</v>
      </c>
      <c r="Y451" s="67">
        <v>158095</v>
      </c>
      <c r="Z451" s="67">
        <v>2394</v>
      </c>
      <c r="AA451" s="67">
        <v>1548</v>
      </c>
      <c r="AB451" s="67">
        <v>23466</v>
      </c>
      <c r="AC451" s="34">
        <v>3</v>
      </c>
      <c r="AD451" s="34">
        <v>11</v>
      </c>
      <c r="AE451" s="20">
        <f t="shared" ref="AE451" si="342">SUM(AC451:AD451)</f>
        <v>14</v>
      </c>
      <c r="AF451" s="20">
        <f t="shared" ref="AF451" si="343">SUM(X451:AB451)</f>
        <v>1562274</v>
      </c>
      <c r="AG451" s="20"/>
    </row>
    <row r="452" spans="1:33">
      <c r="A452" s="2">
        <f t="shared" si="264"/>
        <v>2012</v>
      </c>
      <c r="B452" s="2">
        <f t="shared" si="138"/>
        <v>3</v>
      </c>
      <c r="C452" s="57">
        <f t="shared" ref="C452" si="344">SUM(D452:F452,I452:L452)</f>
        <v>2729777</v>
      </c>
      <c r="D452" s="34">
        <v>1238504</v>
      </c>
      <c r="E452" s="34">
        <v>866212</v>
      </c>
      <c r="F452" s="34">
        <v>255451</v>
      </c>
      <c r="G452" s="34">
        <f>[1]Monthly!$P296</f>
        <v>83689</v>
      </c>
      <c r="H452" s="59">
        <f t="shared" ref="H452" si="345">(F452-G452)</f>
        <v>171762</v>
      </c>
      <c r="I452" s="34">
        <v>2085</v>
      </c>
      <c r="J452" s="34">
        <v>244338</v>
      </c>
      <c r="K452" s="34">
        <v>60000</v>
      </c>
      <c r="L452" s="34">
        <v>63187</v>
      </c>
      <c r="M452" s="34">
        <v>1864601</v>
      </c>
      <c r="N452" s="20">
        <f t="shared" ref="N452" si="346">(M452-M451)</f>
        <v>191609</v>
      </c>
      <c r="O452" s="20">
        <f t="shared" ref="O452" si="347">(C452+N452)</f>
        <v>2921386</v>
      </c>
      <c r="P452" s="34">
        <v>11856</v>
      </c>
      <c r="Q452" s="20">
        <f t="shared" ref="Q452" si="348">(R452-O452-P452)</f>
        <v>194755</v>
      </c>
      <c r="R452" s="67">
        <v>3127997</v>
      </c>
      <c r="S452" s="72">
        <f t="shared" ref="S452" si="349">(Q452/R452)</f>
        <v>6.2261888358588577E-2</v>
      </c>
      <c r="T452" s="67">
        <v>1729693</v>
      </c>
      <c r="U452" s="2">
        <f t="shared" si="116"/>
        <v>2012</v>
      </c>
      <c r="V452" s="2">
        <f t="shared" si="117"/>
        <v>3</v>
      </c>
      <c r="W452" s="16">
        <f t="shared" ref="W452" si="350">SUM(X452:AD452)</f>
        <v>1661357</v>
      </c>
      <c r="X452" s="67">
        <v>1470844</v>
      </c>
      <c r="Y452" s="67">
        <v>162808</v>
      </c>
      <c r="Z452" s="67">
        <v>2371</v>
      </c>
      <c r="AA452" s="67">
        <v>1551</v>
      </c>
      <c r="AB452" s="67">
        <v>23768</v>
      </c>
      <c r="AC452" s="34">
        <v>4</v>
      </c>
      <c r="AD452" s="34">
        <v>11</v>
      </c>
      <c r="AE452" s="20">
        <f t="shared" ref="AE452" si="351">SUM(AC452:AD452)</f>
        <v>15</v>
      </c>
      <c r="AF452" s="20">
        <f t="shared" ref="AF452" si="352">SUM(X452:AB452)</f>
        <v>1661342</v>
      </c>
      <c r="AG452" s="20"/>
    </row>
    <row r="453" spans="1:33">
      <c r="A453" s="2">
        <f t="shared" si="264"/>
        <v>2012</v>
      </c>
      <c r="B453" s="2">
        <f t="shared" si="138"/>
        <v>4</v>
      </c>
      <c r="C453" s="57">
        <f t="shared" ref="C453" si="353">SUM(D453:F453,I453:L453)</f>
        <v>2926665</v>
      </c>
      <c r="D453" s="34">
        <v>1331543</v>
      </c>
      <c r="E453" s="34">
        <v>937252</v>
      </c>
      <c r="F453" s="34">
        <v>264787</v>
      </c>
      <c r="G453" s="34">
        <f>[1]Monthly!$P297</f>
        <v>88051</v>
      </c>
      <c r="H453" s="59">
        <f t="shared" ref="H453" si="354">(F453-G453)</f>
        <v>176736</v>
      </c>
      <c r="I453" s="34">
        <v>2082</v>
      </c>
      <c r="J453" s="34">
        <v>260891</v>
      </c>
      <c r="K453" s="34">
        <v>56325</v>
      </c>
      <c r="L453" s="34">
        <v>73785</v>
      </c>
      <c r="M453" s="34">
        <v>1898534</v>
      </c>
      <c r="N453" s="20">
        <f t="shared" ref="N453" si="355">(M453-M452)</f>
        <v>33933</v>
      </c>
      <c r="O453" s="20">
        <f t="shared" ref="O453" si="356">(C453+N453)</f>
        <v>2960598</v>
      </c>
      <c r="P453" s="34">
        <v>15061</v>
      </c>
      <c r="Q453" s="20">
        <f t="shared" ref="Q453" si="357">(R453-O453-P453)</f>
        <v>188388</v>
      </c>
      <c r="R453" s="67">
        <v>3164047</v>
      </c>
      <c r="S453" s="72">
        <f t="shared" ref="S453" si="358">(Q453/R453)</f>
        <v>5.9540202784598331E-2</v>
      </c>
      <c r="T453" s="67">
        <v>1776754</v>
      </c>
      <c r="U453" s="2">
        <f t="shared" si="116"/>
        <v>2012</v>
      </c>
      <c r="V453" s="2">
        <f t="shared" si="117"/>
        <v>4</v>
      </c>
      <c r="W453" s="16">
        <f t="shared" ref="W453" si="359">SUM(X453:AD453)</f>
        <v>1638088</v>
      </c>
      <c r="X453" s="67">
        <v>1449157</v>
      </c>
      <c r="Y453" s="67">
        <v>161378</v>
      </c>
      <c r="Z453" s="67">
        <v>2352</v>
      </c>
      <c r="AA453" s="67">
        <v>1547</v>
      </c>
      <c r="AB453" s="67">
        <v>23640</v>
      </c>
      <c r="AC453" s="34">
        <v>4</v>
      </c>
      <c r="AD453" s="34">
        <v>10</v>
      </c>
      <c r="AE453" s="20">
        <f t="shared" ref="AE453" si="360">SUM(AC453:AD453)</f>
        <v>14</v>
      </c>
      <c r="AF453" s="20">
        <f t="shared" ref="AF453" si="361">SUM(X453:AB453)</f>
        <v>1638074</v>
      </c>
      <c r="AG453" s="20"/>
    </row>
    <row r="454" spans="1:33">
      <c r="A454" s="2">
        <f t="shared" si="264"/>
        <v>2012</v>
      </c>
      <c r="B454" s="2">
        <f t="shared" si="138"/>
        <v>5</v>
      </c>
      <c r="C454" s="57">
        <f t="shared" ref="C454" si="362">SUM(D454:F454,I454:L454)</f>
        <v>3054825</v>
      </c>
      <c r="D454" s="34">
        <v>1441848</v>
      </c>
      <c r="E454" s="34">
        <v>958782</v>
      </c>
      <c r="F454" s="34">
        <v>269547</v>
      </c>
      <c r="G454" s="34">
        <f>[1]Monthly!$P298</f>
        <v>82840</v>
      </c>
      <c r="H454" s="59">
        <f t="shared" ref="H454" si="363">(F454-G454)</f>
        <v>186707</v>
      </c>
      <c r="I454" s="34">
        <v>2063</v>
      </c>
      <c r="J454" s="34">
        <v>263795</v>
      </c>
      <c r="K454" s="34">
        <v>47615</v>
      </c>
      <c r="L454" s="34">
        <v>71175</v>
      </c>
      <c r="M454" s="34">
        <v>2367473</v>
      </c>
      <c r="N454" s="20">
        <f t="shared" ref="N454" si="364">(M454-M453)</f>
        <v>468939</v>
      </c>
      <c r="O454" s="20">
        <f t="shared" ref="O454" si="365">(C454+N454)</f>
        <v>3523764</v>
      </c>
      <c r="P454" s="34">
        <v>8688</v>
      </c>
      <c r="Q454" s="20">
        <f t="shared" ref="Q454" si="366">(R454-O454-P454)</f>
        <v>247769</v>
      </c>
      <c r="R454" s="67">
        <v>3780221</v>
      </c>
      <c r="S454" s="72">
        <f t="shared" ref="S454" si="367">(Q454/R454)</f>
        <v>6.5543522455433156E-2</v>
      </c>
      <c r="T454" s="67">
        <v>2217127</v>
      </c>
      <c r="U454" s="2">
        <f t="shared" si="116"/>
        <v>2012</v>
      </c>
      <c r="V454" s="2">
        <f t="shared" si="117"/>
        <v>5</v>
      </c>
      <c r="W454" s="16">
        <f t="shared" ref="W454" si="368">SUM(X454:AD454)</f>
        <v>1661788</v>
      </c>
      <c r="X454" s="67">
        <v>1470737</v>
      </c>
      <c r="Y454" s="67">
        <v>163247</v>
      </c>
      <c r="Z454" s="67">
        <v>2366</v>
      </c>
      <c r="AA454" s="67">
        <v>1547</v>
      </c>
      <c r="AB454" s="67">
        <v>23876</v>
      </c>
      <c r="AC454" s="34">
        <v>4</v>
      </c>
      <c r="AD454" s="34">
        <v>11</v>
      </c>
      <c r="AE454" s="20">
        <f t="shared" ref="AE454" si="369">SUM(AC454:AD454)</f>
        <v>15</v>
      </c>
      <c r="AF454" s="20">
        <f t="shared" ref="AF454" si="370">SUM(X454:AB454)</f>
        <v>1661773</v>
      </c>
      <c r="AG454" s="20"/>
    </row>
    <row r="455" spans="1:33">
      <c r="A455" s="2">
        <f t="shared" si="264"/>
        <v>2012</v>
      </c>
      <c r="B455" s="2">
        <f t="shared" si="138"/>
        <v>6</v>
      </c>
      <c r="C455" s="57">
        <f t="shared" ref="C455" si="371">SUM(D455:F455,I455:L455)</f>
        <v>3534108</v>
      </c>
      <c r="D455" s="34">
        <v>1751800</v>
      </c>
      <c r="E455" s="34">
        <v>1065220</v>
      </c>
      <c r="F455" s="34">
        <v>273573</v>
      </c>
      <c r="G455" s="34">
        <f>[1]Monthly!$P299</f>
        <v>92171</v>
      </c>
      <c r="H455" s="59">
        <f t="shared" ref="H455" si="372">(F455-G455)</f>
        <v>181402</v>
      </c>
      <c r="I455" s="34">
        <v>2084</v>
      </c>
      <c r="J455" s="34">
        <v>282117</v>
      </c>
      <c r="K455" s="34">
        <v>66675</v>
      </c>
      <c r="L455" s="34">
        <v>92639</v>
      </c>
      <c r="M455" s="34">
        <v>2270770</v>
      </c>
      <c r="N455" s="20">
        <f t="shared" ref="N455" si="373">(M455-M454)</f>
        <v>-96703</v>
      </c>
      <c r="O455" s="20">
        <f t="shared" ref="O455" si="374">(C455+N455)</f>
        <v>3437405</v>
      </c>
      <c r="P455" s="34">
        <v>8470</v>
      </c>
      <c r="Q455" s="20">
        <f t="shared" ref="Q455" si="375">(R455-O455-P455)</f>
        <v>253046</v>
      </c>
      <c r="R455" s="67">
        <v>3698921</v>
      </c>
      <c r="S455" s="72">
        <f t="shared" ref="S455" si="376">(Q455/R455)</f>
        <v>6.841076086783146E-2</v>
      </c>
      <c r="T455" s="67">
        <v>2126808</v>
      </c>
      <c r="U455" s="2">
        <f t="shared" si="116"/>
        <v>2012</v>
      </c>
      <c r="V455" s="2">
        <f t="shared" si="117"/>
        <v>6</v>
      </c>
      <c r="W455" s="16">
        <f t="shared" ref="W455" si="377">SUM(X455:AD455)</f>
        <v>1655485</v>
      </c>
      <c r="X455" s="67">
        <v>1464139</v>
      </c>
      <c r="Y455" s="67">
        <v>163589</v>
      </c>
      <c r="Z455" s="67">
        <v>2347</v>
      </c>
      <c r="AA455" s="67">
        <v>1549</v>
      </c>
      <c r="AB455" s="67">
        <v>23846</v>
      </c>
      <c r="AC455" s="34">
        <v>4</v>
      </c>
      <c r="AD455" s="34">
        <v>11</v>
      </c>
      <c r="AE455" s="20">
        <f t="shared" ref="AE455" si="378">SUM(AC455:AD455)</f>
        <v>15</v>
      </c>
      <c r="AF455" s="20">
        <f t="shared" ref="AF455" si="379">SUM(X455:AB455)</f>
        <v>1655470</v>
      </c>
      <c r="AG455" s="20"/>
    </row>
    <row r="456" spans="1:33">
      <c r="A456" s="2">
        <f t="shared" si="264"/>
        <v>2012</v>
      </c>
      <c r="B456" s="2">
        <f t="shared" si="138"/>
        <v>7</v>
      </c>
      <c r="C456" s="57">
        <f t="shared" ref="C456" si="380">SUM(D456:F456,I456:L456)</f>
        <v>3498832</v>
      </c>
      <c r="D456" s="34">
        <v>1742529</v>
      </c>
      <c r="E456" s="34">
        <v>1066254</v>
      </c>
      <c r="F456" s="34">
        <v>273358</v>
      </c>
      <c r="G456" s="34">
        <f>[1]Monthly!$P300</f>
        <v>95115</v>
      </c>
      <c r="H456" s="59">
        <f t="shared" ref="H456" si="381">(F456-G456)</f>
        <v>178243</v>
      </c>
      <c r="I456" s="34">
        <v>2068</v>
      </c>
      <c r="J456" s="34">
        <v>270716</v>
      </c>
      <c r="K456" s="34">
        <v>53652</v>
      </c>
      <c r="L456" s="34">
        <v>90255</v>
      </c>
      <c r="M456" s="34">
        <v>2769824</v>
      </c>
      <c r="N456" s="20">
        <f t="shared" ref="N456" si="382">(M456-M455)</f>
        <v>499054</v>
      </c>
      <c r="O456" s="20">
        <f t="shared" ref="O456" si="383">(C456+N456)</f>
        <v>3997886</v>
      </c>
      <c r="P456" s="34">
        <v>9991</v>
      </c>
      <c r="Q456" s="20">
        <f t="shared" ref="Q456" si="384">(R456-O456-P456)</f>
        <v>269847</v>
      </c>
      <c r="R456" s="67">
        <v>4277724</v>
      </c>
      <c r="S456" s="72">
        <f t="shared" ref="S456" si="385">(Q456/R456)</f>
        <v>6.3081909912841502E-2</v>
      </c>
      <c r="T456" s="67">
        <v>2520878</v>
      </c>
      <c r="U456" s="2">
        <f t="shared" si="116"/>
        <v>2012</v>
      </c>
      <c r="V456" s="2">
        <f t="shared" si="117"/>
        <v>7</v>
      </c>
      <c r="W456" s="16">
        <f t="shared" ref="W456" si="386">SUM(X456:AD456)</f>
        <v>1573047</v>
      </c>
      <c r="X456" s="67">
        <v>1387578</v>
      </c>
      <c r="Y456" s="67">
        <v>158331</v>
      </c>
      <c r="Z456" s="67">
        <v>2325</v>
      </c>
      <c r="AA456" s="67">
        <v>1544</v>
      </c>
      <c r="AB456" s="67">
        <v>23254</v>
      </c>
      <c r="AC456" s="34">
        <v>4</v>
      </c>
      <c r="AD456" s="34">
        <v>11</v>
      </c>
      <c r="AE456" s="20">
        <f t="shared" ref="AE456" si="387">SUM(AC456:AD456)</f>
        <v>15</v>
      </c>
      <c r="AF456" s="20">
        <f t="shared" ref="AF456" si="388">SUM(X456:AB456)</f>
        <v>1573032</v>
      </c>
      <c r="AG456" s="20"/>
    </row>
    <row r="457" spans="1:33">
      <c r="A457" s="2">
        <f t="shared" si="264"/>
        <v>2012</v>
      </c>
      <c r="B457" s="2">
        <f t="shared" si="138"/>
        <v>8</v>
      </c>
      <c r="C457" s="57">
        <f t="shared" ref="C457" si="389">SUM(D457:F457,I457:L457)</f>
        <v>4124610</v>
      </c>
      <c r="D457" s="34">
        <v>2149845</v>
      </c>
      <c r="E457" s="34">
        <v>1165669</v>
      </c>
      <c r="F457" s="34">
        <v>270778</v>
      </c>
      <c r="G457" s="34">
        <f>[1]Monthly!$P301</f>
        <v>86610</v>
      </c>
      <c r="H457" s="59">
        <f t="shared" ref="H457" si="390">(F457-G457)</f>
        <v>184168</v>
      </c>
      <c r="I457" s="34">
        <v>2076</v>
      </c>
      <c r="J457" s="34">
        <v>286653</v>
      </c>
      <c r="K457" s="34">
        <v>127733</v>
      </c>
      <c r="L457" s="34">
        <v>121856</v>
      </c>
      <c r="M457" s="34">
        <v>2592290</v>
      </c>
      <c r="N457" s="20">
        <f t="shared" ref="N457" si="391">(M457-M456)</f>
        <v>-177534</v>
      </c>
      <c r="O457" s="20">
        <f t="shared" ref="O457" si="392">(C457+N457)</f>
        <v>3947076</v>
      </c>
      <c r="P457" s="34">
        <v>13491</v>
      </c>
      <c r="Q457" s="20">
        <f t="shared" ref="Q457" si="393">(R457-O457-P457)</f>
        <v>257723</v>
      </c>
      <c r="R457" s="67">
        <v>4218290</v>
      </c>
      <c r="S457" s="72">
        <f t="shared" ref="S457" si="394">(Q457/R457)</f>
        <v>6.1096558083962936E-2</v>
      </c>
      <c r="T457" s="67">
        <v>2384468</v>
      </c>
      <c r="U457" s="2">
        <f t="shared" si="116"/>
        <v>2012</v>
      </c>
      <c r="V457" s="2">
        <f t="shared" si="117"/>
        <v>8</v>
      </c>
      <c r="W457" s="16">
        <f t="shared" ref="W457" si="395">SUM(X457:AD457)</f>
        <v>1740879</v>
      </c>
      <c r="X457" s="67">
        <v>1542995</v>
      </c>
      <c r="Y457" s="67">
        <v>169014</v>
      </c>
      <c r="Z457" s="67">
        <v>2389</v>
      </c>
      <c r="AA457" s="67">
        <v>1584</v>
      </c>
      <c r="AB457" s="67">
        <v>24883</v>
      </c>
      <c r="AC457" s="34">
        <v>4</v>
      </c>
      <c r="AD457" s="34">
        <v>10</v>
      </c>
      <c r="AE457" s="20">
        <f t="shared" ref="AE457" si="396">SUM(AC457:AD457)</f>
        <v>14</v>
      </c>
      <c r="AF457" s="20">
        <f t="shared" ref="AF457" si="397">SUM(X457:AB457)</f>
        <v>1740865</v>
      </c>
      <c r="AG457" s="20"/>
    </row>
    <row r="458" spans="1:33">
      <c r="A458" s="2">
        <f t="shared" si="264"/>
        <v>2012</v>
      </c>
      <c r="B458" s="2">
        <f t="shared" si="138"/>
        <v>9</v>
      </c>
      <c r="C458" s="57">
        <f t="shared" ref="C458" si="398">SUM(D458:F458,I458:L458)</f>
        <v>3723073</v>
      </c>
      <c r="D458" s="34">
        <v>1820003</v>
      </c>
      <c r="E458" s="34">
        <v>1109929</v>
      </c>
      <c r="F458" s="34">
        <v>275105</v>
      </c>
      <c r="G458" s="34">
        <f>[1]Monthly!$P302</f>
        <v>89986</v>
      </c>
      <c r="H458" s="59">
        <f t="shared" ref="H458" si="399">(F458-G458)</f>
        <v>185119</v>
      </c>
      <c r="I458" s="34">
        <v>2069</v>
      </c>
      <c r="J458" s="34">
        <v>305309</v>
      </c>
      <c r="K458" s="34">
        <v>97650</v>
      </c>
      <c r="L458" s="34">
        <v>113008</v>
      </c>
      <c r="M458" s="34">
        <v>2374203</v>
      </c>
      <c r="N458" s="20">
        <f t="shared" ref="N458" si="400">(M458-M457)</f>
        <v>-218087</v>
      </c>
      <c r="O458" s="20">
        <f t="shared" ref="O458" si="401">(C458+N458)</f>
        <v>3504986</v>
      </c>
      <c r="P458" s="34">
        <v>10450</v>
      </c>
      <c r="Q458" s="20">
        <f t="shared" ref="Q458" si="402">(R458-O458-P458)</f>
        <v>281314</v>
      </c>
      <c r="R458" s="67">
        <v>3796750</v>
      </c>
      <c r="S458" s="72">
        <f t="shared" ref="S458" si="403">(Q458/R458)</f>
        <v>7.4093369329031405E-2</v>
      </c>
      <c r="T458" s="67">
        <v>2201715</v>
      </c>
      <c r="U458" s="2">
        <f t="shared" si="116"/>
        <v>2012</v>
      </c>
      <c r="V458" s="2">
        <f t="shared" si="117"/>
        <v>9</v>
      </c>
      <c r="W458" s="16">
        <f t="shared" ref="W458" si="404">SUM(X458:AD458)</f>
        <v>1591782</v>
      </c>
      <c r="X458" s="67">
        <v>1404111</v>
      </c>
      <c r="Y458" s="67">
        <v>160350</v>
      </c>
      <c r="Z458" s="67">
        <v>2361</v>
      </c>
      <c r="AA458" s="67">
        <v>1581</v>
      </c>
      <c r="AB458" s="67">
        <v>23362</v>
      </c>
      <c r="AC458" s="34">
        <v>5</v>
      </c>
      <c r="AD458" s="34">
        <v>12</v>
      </c>
      <c r="AE458" s="20">
        <f t="shared" ref="AE458" si="405">SUM(AC458:AD458)</f>
        <v>17</v>
      </c>
      <c r="AF458" s="20">
        <f t="shared" ref="AF458" si="406">SUM(X458:AB458)</f>
        <v>1591765</v>
      </c>
      <c r="AG458" s="20"/>
    </row>
    <row r="459" spans="1:33">
      <c r="A459" s="2">
        <f t="shared" si="264"/>
        <v>2012</v>
      </c>
      <c r="B459" s="2">
        <f t="shared" si="138"/>
        <v>10</v>
      </c>
      <c r="C459" s="57">
        <f t="shared" ref="C459" si="407">SUM(D459:F459,I459:L459)</f>
        <v>3491126</v>
      </c>
      <c r="D459" s="34">
        <v>1724920</v>
      </c>
      <c r="E459" s="34">
        <v>1051180</v>
      </c>
      <c r="F459" s="34">
        <v>252612</v>
      </c>
      <c r="G459" s="34">
        <f>[1]Monthly!$P303</f>
        <v>79109</v>
      </c>
      <c r="H459" s="59">
        <f t="shared" ref="H459" si="408">(F459-G459)</f>
        <v>173503</v>
      </c>
      <c r="I459" s="34">
        <v>2103</v>
      </c>
      <c r="J459" s="34">
        <v>287529</v>
      </c>
      <c r="K459" s="34">
        <v>65978</v>
      </c>
      <c r="L459" s="34">
        <v>106804</v>
      </c>
      <c r="M459" s="34">
        <v>2086560</v>
      </c>
      <c r="N459" s="20">
        <f t="shared" ref="N459" si="409">(M459-M458)</f>
        <v>-287643</v>
      </c>
      <c r="O459" s="20">
        <f t="shared" ref="O459" si="410">(C459+N459)</f>
        <v>3203483</v>
      </c>
      <c r="P459" s="34">
        <v>17198</v>
      </c>
      <c r="Q459" s="20">
        <f t="shared" ref="Q459" si="411">(R459-O459-P459)</f>
        <v>257507</v>
      </c>
      <c r="R459" s="67">
        <v>3478188</v>
      </c>
      <c r="S459" s="72">
        <f t="shared" ref="S459" si="412">(Q459/R459)</f>
        <v>7.4034813529343435E-2</v>
      </c>
      <c r="T459" s="67">
        <v>1926184</v>
      </c>
      <c r="U459" s="2">
        <f t="shared" si="116"/>
        <v>2012</v>
      </c>
      <c r="V459" s="2">
        <f t="shared" si="117"/>
        <v>10</v>
      </c>
      <c r="W459" s="16">
        <f t="shared" ref="W459" si="413">SUM(X459:AD459)</f>
        <v>1644016</v>
      </c>
      <c r="X459" s="67">
        <v>1451243</v>
      </c>
      <c r="Y459" s="67">
        <v>164628</v>
      </c>
      <c r="Z459" s="67">
        <v>2376</v>
      </c>
      <c r="AA459" s="67">
        <v>1582</v>
      </c>
      <c r="AB459" s="67">
        <v>24168</v>
      </c>
      <c r="AC459" s="34">
        <v>6</v>
      </c>
      <c r="AD459" s="34">
        <v>13</v>
      </c>
      <c r="AE459" s="20">
        <f t="shared" ref="AE459" si="414">SUM(AC459:AD459)</f>
        <v>19</v>
      </c>
      <c r="AF459" s="20">
        <f t="shared" ref="AF459" si="415">SUM(X459:AB459)</f>
        <v>1643997</v>
      </c>
      <c r="AG459" s="20"/>
    </row>
    <row r="460" spans="1:33">
      <c r="A460" s="2">
        <f t="shared" si="264"/>
        <v>2012</v>
      </c>
      <c r="B460" s="2">
        <f t="shared" si="138"/>
        <v>11</v>
      </c>
      <c r="C460" s="57">
        <f t="shared" ref="C460" si="416">SUM(D460:F460,I460:L460)</f>
        <v>3078337</v>
      </c>
      <c r="D460" s="34">
        <v>1427308</v>
      </c>
      <c r="E460" s="34">
        <v>952531</v>
      </c>
      <c r="F460" s="34">
        <v>264412</v>
      </c>
      <c r="G460" s="34">
        <f>[1]Monthly!$P304</f>
        <v>87454</v>
      </c>
      <c r="H460" s="59">
        <f t="shared" ref="H460" si="417">(F460-G460)</f>
        <v>176958</v>
      </c>
      <c r="I460" s="34">
        <v>2124</v>
      </c>
      <c r="J460" s="34">
        <v>273971</v>
      </c>
      <c r="K460" s="34">
        <v>61128</v>
      </c>
      <c r="L460" s="34">
        <v>96863</v>
      </c>
      <c r="M460" s="34">
        <v>1563407</v>
      </c>
      <c r="N460" s="20">
        <f t="shared" ref="N460" si="418">(M460-M459)</f>
        <v>-523153</v>
      </c>
      <c r="O460" s="20">
        <f t="shared" ref="O460" si="419">(C460+N460)</f>
        <v>2555184</v>
      </c>
      <c r="P460" s="34">
        <v>11024</v>
      </c>
      <c r="Q460" s="20">
        <f t="shared" ref="Q460" si="420">(R460-O460-P460)</f>
        <v>173046</v>
      </c>
      <c r="R460" s="67">
        <v>2739254</v>
      </c>
      <c r="S460" s="72">
        <f t="shared" ref="S460" si="421">(Q460/R460)</f>
        <v>6.3172674020006911E-2</v>
      </c>
      <c r="T460" s="67">
        <v>1475510</v>
      </c>
      <c r="U460" s="2">
        <f t="shared" si="116"/>
        <v>2012</v>
      </c>
      <c r="V460" s="2">
        <f t="shared" si="117"/>
        <v>11</v>
      </c>
      <c r="W460" s="16">
        <f t="shared" ref="W460" si="422">SUM(X460:AD460)</f>
        <v>1834839</v>
      </c>
      <c r="X460" s="67">
        <v>1629469</v>
      </c>
      <c r="Y460" s="67">
        <v>175822</v>
      </c>
      <c r="Z460" s="67">
        <v>2469</v>
      </c>
      <c r="AA460" s="67">
        <v>1581</v>
      </c>
      <c r="AB460" s="67">
        <v>25479</v>
      </c>
      <c r="AC460" s="34">
        <v>6</v>
      </c>
      <c r="AD460" s="34">
        <v>13</v>
      </c>
      <c r="AE460" s="20">
        <f t="shared" ref="AE460" si="423">SUM(AC460:AD460)</f>
        <v>19</v>
      </c>
      <c r="AF460" s="20">
        <f t="shared" ref="AF460" si="424">SUM(X460:AB460)</f>
        <v>1834820</v>
      </c>
      <c r="AG460" s="20"/>
    </row>
    <row r="461" spans="1:33" s="26" customFormat="1" ht="15">
      <c r="A461" s="26">
        <f t="shared" si="264"/>
        <v>2012</v>
      </c>
      <c r="B461" s="26">
        <f t="shared" si="138"/>
        <v>12</v>
      </c>
      <c r="C461" s="61">
        <f t="shared" ref="C461:C473" si="425">SUM(D461:F461,I461:L461)</f>
        <v>2602400</v>
      </c>
      <c r="D461" s="13">
        <v>1156813</v>
      </c>
      <c r="E461" s="13">
        <v>852094</v>
      </c>
      <c r="F461" s="13">
        <v>259044</v>
      </c>
      <c r="G461" s="13">
        <f>[1]Monthly!$P305</f>
        <v>93633</v>
      </c>
      <c r="H461" s="63">
        <f t="shared" ref="H461" si="426">(F461-G461)</f>
        <v>165411</v>
      </c>
      <c r="I461" s="13">
        <v>2108</v>
      </c>
      <c r="J461" s="13">
        <v>244027</v>
      </c>
      <c r="K461" s="13">
        <v>21751</v>
      </c>
      <c r="L461" s="13">
        <v>66563</v>
      </c>
      <c r="M461" s="13">
        <v>1822634</v>
      </c>
      <c r="N461" s="47">
        <f t="shared" ref="N461" si="427">(M461-M460)</f>
        <v>259227</v>
      </c>
      <c r="O461" s="47">
        <f t="shared" ref="O461" si="428">(C461+N461)</f>
        <v>2861627</v>
      </c>
      <c r="P461" s="13">
        <v>14632</v>
      </c>
      <c r="Q461" s="47">
        <f t="shared" ref="Q461" si="429">(R461-O461-P461)</f>
        <v>160103</v>
      </c>
      <c r="R461" s="69">
        <v>3036362</v>
      </c>
      <c r="S461" s="82">
        <f t="shared" ref="S461" si="430">(Q461/R461)</f>
        <v>5.2728561350721688E-2</v>
      </c>
      <c r="T461" s="69">
        <v>1694949</v>
      </c>
      <c r="U461" s="26">
        <f t="shared" si="116"/>
        <v>2012</v>
      </c>
      <c r="V461" s="26">
        <f t="shared" si="117"/>
        <v>12</v>
      </c>
      <c r="W461" s="27">
        <f t="shared" ref="W461" si="431">SUM(X461:AD461)</f>
        <v>1660716</v>
      </c>
      <c r="X461" s="100">
        <v>1469818</v>
      </c>
      <c r="Y461" s="100">
        <v>163123</v>
      </c>
      <c r="Z461" s="100">
        <v>2319</v>
      </c>
      <c r="AA461" s="100">
        <v>1571</v>
      </c>
      <c r="AB461" s="100">
        <v>23870</v>
      </c>
      <c r="AC461" s="13">
        <v>4</v>
      </c>
      <c r="AD461" s="13">
        <v>11</v>
      </c>
      <c r="AE461" s="47">
        <f t="shared" ref="AE461:AE462" si="432">SUM(AC461:AD461)</f>
        <v>15</v>
      </c>
      <c r="AF461" s="47">
        <f t="shared" ref="AF461:AF462" si="433">SUM(X461:AB461)</f>
        <v>1660701</v>
      </c>
      <c r="AG461" s="47"/>
    </row>
    <row r="462" spans="1:33">
      <c r="A462" s="2">
        <f t="shared" si="264"/>
        <v>2013</v>
      </c>
      <c r="B462" s="2">
        <f t="shared" si="138"/>
        <v>1</v>
      </c>
      <c r="C462" s="57">
        <f t="shared" si="425"/>
        <v>2730720</v>
      </c>
      <c r="D462" s="34">
        <v>1254612</v>
      </c>
      <c r="E462" s="34">
        <v>869823</v>
      </c>
      <c r="F462" s="34">
        <v>250171</v>
      </c>
      <c r="G462" s="34">
        <v>91423</v>
      </c>
      <c r="H462" s="59">
        <v>158748</v>
      </c>
      <c r="I462" s="34">
        <v>2104</v>
      </c>
      <c r="J462" s="34">
        <v>232131</v>
      </c>
      <c r="K462" s="34">
        <v>49067</v>
      </c>
      <c r="L462" s="34">
        <v>72812</v>
      </c>
      <c r="M462" s="34">
        <v>1742438</v>
      </c>
      <c r="N462" s="20">
        <v>-80196</v>
      </c>
      <c r="O462" s="20">
        <v>2650524</v>
      </c>
      <c r="P462" s="34">
        <v>14362</v>
      </c>
      <c r="Q462" s="20">
        <v>216637</v>
      </c>
      <c r="R462" s="67">
        <v>2881523</v>
      </c>
      <c r="S462" s="72">
        <v>7.5181423157129057E-2</v>
      </c>
      <c r="T462" s="67">
        <v>1661237</v>
      </c>
      <c r="U462" s="2">
        <f t="shared" si="116"/>
        <v>2013</v>
      </c>
      <c r="V462" s="2">
        <f t="shared" si="117"/>
        <v>1</v>
      </c>
      <c r="W462" s="16">
        <f t="shared" ref="W462" si="434">SUM(X462:AD462)</f>
        <v>1571101</v>
      </c>
      <c r="X462" s="67">
        <v>1385210</v>
      </c>
      <c r="Y462" s="67">
        <v>158539</v>
      </c>
      <c r="Z462" s="67">
        <v>2309</v>
      </c>
      <c r="AA462" s="67">
        <v>1566</v>
      </c>
      <c r="AB462" s="67">
        <v>23462</v>
      </c>
      <c r="AC462" s="34">
        <v>4</v>
      </c>
      <c r="AD462" s="34">
        <v>11</v>
      </c>
      <c r="AE462" s="20">
        <f t="shared" si="432"/>
        <v>15</v>
      </c>
      <c r="AF462" s="20">
        <f t="shared" si="433"/>
        <v>1571086</v>
      </c>
      <c r="AG462" s="20"/>
    </row>
    <row r="463" spans="1:33">
      <c r="A463" s="2">
        <f t="shared" si="264"/>
        <v>2013</v>
      </c>
      <c r="B463" s="2">
        <f t="shared" si="138"/>
        <v>2</v>
      </c>
      <c r="C463" s="57">
        <f t="shared" si="425"/>
        <v>2647125</v>
      </c>
      <c r="D463" s="34">
        <v>1262882</v>
      </c>
      <c r="E463" s="34">
        <v>824098</v>
      </c>
      <c r="F463" s="34">
        <v>253946</v>
      </c>
      <c r="G463" s="34">
        <v>88777</v>
      </c>
      <c r="H463" s="59">
        <v>165169</v>
      </c>
      <c r="I463" s="34">
        <v>2099</v>
      </c>
      <c r="J463" s="34">
        <v>235165</v>
      </c>
      <c r="K463" s="34">
        <v>11801</v>
      </c>
      <c r="L463" s="34">
        <v>57134</v>
      </c>
      <c r="M463" s="34">
        <v>1618316</v>
      </c>
      <c r="N463" s="20">
        <v>-124122</v>
      </c>
      <c r="O463" s="20">
        <v>2523003</v>
      </c>
      <c r="P463" s="34">
        <v>9292</v>
      </c>
      <c r="Q463" s="20">
        <v>214033</v>
      </c>
      <c r="R463" s="67">
        <v>2746328</v>
      </c>
      <c r="S463" s="72">
        <v>7.7934245290438728E-2</v>
      </c>
      <c r="T463" s="67">
        <v>1534689</v>
      </c>
      <c r="U463" s="2">
        <f t="shared" ref="U463:U473" si="435">U451+1</f>
        <v>2013</v>
      </c>
      <c r="V463" s="2">
        <f t="shared" ref="V463:V473" si="436">V451</f>
        <v>2</v>
      </c>
      <c r="W463" s="16">
        <f t="shared" ref="W463:W471" si="437">SUM(X463:AD463)</f>
        <v>1661134</v>
      </c>
      <c r="X463" s="67">
        <v>1468867</v>
      </c>
      <c r="Y463" s="67">
        <v>164377</v>
      </c>
      <c r="Z463" s="67">
        <v>2371</v>
      </c>
      <c r="AA463" s="67">
        <v>1567</v>
      </c>
      <c r="AB463" s="67">
        <v>23937</v>
      </c>
      <c r="AC463" s="34">
        <v>4</v>
      </c>
      <c r="AD463" s="34">
        <v>11</v>
      </c>
      <c r="AE463" s="20">
        <f t="shared" ref="AE463" si="438">SUM(AC463:AD463)</f>
        <v>15</v>
      </c>
      <c r="AF463" s="20">
        <f t="shared" ref="AF463" si="439">SUM(X463:AB463)</f>
        <v>1661119</v>
      </c>
      <c r="AG463" s="20"/>
    </row>
    <row r="464" spans="1:33">
      <c r="A464" s="2">
        <f t="shared" si="264"/>
        <v>2013</v>
      </c>
      <c r="B464" s="2">
        <f t="shared" si="138"/>
        <v>3</v>
      </c>
      <c r="C464" s="57">
        <f t="shared" si="425"/>
        <v>2621508</v>
      </c>
      <c r="D464" s="34">
        <v>1226993</v>
      </c>
      <c r="E464" s="34">
        <v>828638</v>
      </c>
      <c r="F464" s="34">
        <v>250408</v>
      </c>
      <c r="G464" s="34">
        <v>84865</v>
      </c>
      <c r="H464" s="59">
        <v>165543</v>
      </c>
      <c r="I464" s="34">
        <v>2082</v>
      </c>
      <c r="J464" s="34">
        <v>234415</v>
      </c>
      <c r="K464" s="34">
        <v>33344</v>
      </c>
      <c r="L464" s="34">
        <v>45628</v>
      </c>
      <c r="M464" s="34">
        <v>1824072</v>
      </c>
      <c r="N464" s="20">
        <v>205756</v>
      </c>
      <c r="O464" s="20">
        <v>2827264</v>
      </c>
      <c r="P464" s="34">
        <v>13980</v>
      </c>
      <c r="Q464" s="20">
        <v>190013</v>
      </c>
      <c r="R464" s="67">
        <v>3031257</v>
      </c>
      <c r="S464" s="72">
        <v>6.2684556274839112E-2</v>
      </c>
      <c r="T464" s="67">
        <v>1728840</v>
      </c>
      <c r="U464" s="2">
        <f t="shared" si="435"/>
        <v>2013</v>
      </c>
      <c r="V464" s="2">
        <f t="shared" si="436"/>
        <v>3</v>
      </c>
      <c r="W464" s="16">
        <f t="shared" si="437"/>
        <v>1587608</v>
      </c>
      <c r="X464" s="67">
        <v>1399956</v>
      </c>
      <c r="Y464" s="67">
        <v>160252</v>
      </c>
      <c r="Z464" s="67">
        <v>2337</v>
      </c>
      <c r="AA464" s="67">
        <v>1566</v>
      </c>
      <c r="AB464" s="67">
        <v>23481</v>
      </c>
      <c r="AC464" s="34">
        <v>4</v>
      </c>
      <c r="AD464" s="34">
        <v>12</v>
      </c>
      <c r="AE464" s="20">
        <f t="shared" ref="AE464" si="440">SUM(AC464:AD464)</f>
        <v>16</v>
      </c>
      <c r="AF464" s="20">
        <f t="shared" ref="AF464" si="441">SUM(X464:AB464)</f>
        <v>1587592</v>
      </c>
      <c r="AG464" s="20"/>
    </row>
    <row r="465" spans="1:33">
      <c r="A465" s="2">
        <f t="shared" si="264"/>
        <v>2013</v>
      </c>
      <c r="B465" s="2">
        <f t="shared" si="138"/>
        <v>4</v>
      </c>
      <c r="C465" s="57">
        <f t="shared" si="425"/>
        <v>2773269</v>
      </c>
      <c r="D465" s="34">
        <v>1313510</v>
      </c>
      <c r="E465" s="34">
        <v>858116</v>
      </c>
      <c r="F465" s="34">
        <v>268166</v>
      </c>
      <c r="G465" s="34">
        <v>94756</v>
      </c>
      <c r="H465" s="59">
        <v>173410</v>
      </c>
      <c r="I465" s="34">
        <v>2078</v>
      </c>
      <c r="J465" s="34">
        <v>236540</v>
      </c>
      <c r="K465" s="34">
        <v>31968</v>
      </c>
      <c r="L465" s="34">
        <v>62891</v>
      </c>
      <c r="M465" s="34">
        <v>1986726</v>
      </c>
      <c r="N465" s="20">
        <v>162654</v>
      </c>
      <c r="O465" s="20">
        <v>2935923</v>
      </c>
      <c r="P465" s="34">
        <v>11205</v>
      </c>
      <c r="Q465" s="20">
        <v>218498</v>
      </c>
      <c r="R465" s="67">
        <v>3165626</v>
      </c>
      <c r="S465" s="72">
        <v>6.9022051246736035E-2</v>
      </c>
      <c r="T465" s="67">
        <v>1846774</v>
      </c>
      <c r="U465" s="2">
        <f t="shared" si="435"/>
        <v>2013</v>
      </c>
      <c r="V465" s="2">
        <f t="shared" si="436"/>
        <v>4</v>
      </c>
      <c r="W465" s="16">
        <f t="shared" ref="W465" si="442">SUM(X465:AD465)</f>
        <v>1666331</v>
      </c>
      <c r="X465" s="67">
        <v>1476489</v>
      </c>
      <c r="Y465" s="67">
        <v>162275</v>
      </c>
      <c r="Z465" s="67">
        <v>2320</v>
      </c>
      <c r="AA465" s="67">
        <v>1569</v>
      </c>
      <c r="AB465" s="67">
        <v>23662</v>
      </c>
      <c r="AC465" s="34">
        <v>4</v>
      </c>
      <c r="AD465" s="34">
        <v>12</v>
      </c>
      <c r="AE465" s="20">
        <f t="shared" ref="AE465" si="443">SUM(AC465:AD465)</f>
        <v>16</v>
      </c>
      <c r="AF465" s="20">
        <f t="shared" ref="AF465" si="444">SUM(X465:AB465)</f>
        <v>1666315</v>
      </c>
      <c r="AG465" s="20"/>
    </row>
    <row r="466" spans="1:33">
      <c r="A466" s="2">
        <f t="shared" si="264"/>
        <v>2013</v>
      </c>
      <c r="B466" s="2">
        <f t="shared" si="138"/>
        <v>5</v>
      </c>
      <c r="C466" s="57">
        <f t="shared" si="425"/>
        <v>3142695</v>
      </c>
      <c r="D466" s="34">
        <v>1470830</v>
      </c>
      <c r="E466" s="34">
        <v>993585</v>
      </c>
      <c r="F466" s="34">
        <v>273779</v>
      </c>
      <c r="G466" s="34">
        <v>86499</v>
      </c>
      <c r="H466" s="59">
        <v>187280</v>
      </c>
      <c r="I466" s="34">
        <v>2058</v>
      </c>
      <c r="J466" s="34">
        <v>266787</v>
      </c>
      <c r="K466" s="34">
        <v>65435</v>
      </c>
      <c r="L466" s="34">
        <v>70221</v>
      </c>
      <c r="M466" s="34">
        <v>2079583</v>
      </c>
      <c r="N466" s="20">
        <v>92857</v>
      </c>
      <c r="O466" s="20">
        <v>3235552</v>
      </c>
      <c r="P466" s="34">
        <v>13896</v>
      </c>
      <c r="Q466" s="20">
        <v>210150</v>
      </c>
      <c r="R466" s="67">
        <v>3459598</v>
      </c>
      <c r="S466" s="72">
        <v>6.0744051765551949E-2</v>
      </c>
      <c r="T466" s="67">
        <v>1955423</v>
      </c>
      <c r="U466" s="2">
        <f t="shared" si="435"/>
        <v>2013</v>
      </c>
      <c r="V466" s="2">
        <f t="shared" si="436"/>
        <v>5</v>
      </c>
      <c r="W466" s="16">
        <f t="shared" si="437"/>
        <v>1753260</v>
      </c>
      <c r="X466" s="67">
        <v>1552943</v>
      </c>
      <c r="Y466" s="67">
        <v>171432</v>
      </c>
      <c r="Z466" s="67">
        <v>2403</v>
      </c>
      <c r="AA466" s="67">
        <v>1570</v>
      </c>
      <c r="AB466" s="67">
        <v>24897</v>
      </c>
      <c r="AC466" s="34">
        <v>4</v>
      </c>
      <c r="AD466" s="34">
        <v>11</v>
      </c>
      <c r="AE466" s="20">
        <f t="shared" ref="AE466" si="445">SUM(AC466:AD466)</f>
        <v>15</v>
      </c>
      <c r="AF466" s="20">
        <f t="shared" ref="AF466" si="446">SUM(X466:AB466)</f>
        <v>1753245</v>
      </c>
      <c r="AG466" s="20"/>
    </row>
    <row r="467" spans="1:33">
      <c r="A467" s="2">
        <f t="shared" si="264"/>
        <v>2013</v>
      </c>
      <c r="B467" s="2">
        <f t="shared" si="138"/>
        <v>6</v>
      </c>
      <c r="C467" s="57">
        <f t="shared" si="425"/>
        <v>3454057</v>
      </c>
      <c r="D467" s="34">
        <v>1706527</v>
      </c>
      <c r="E467" s="34">
        <v>1057287</v>
      </c>
      <c r="F467" s="34">
        <v>285459</v>
      </c>
      <c r="G467" s="34">
        <v>95664</v>
      </c>
      <c r="H467" s="59">
        <v>189795</v>
      </c>
      <c r="I467" s="34">
        <v>2050</v>
      </c>
      <c r="J467" s="34">
        <v>281072</v>
      </c>
      <c r="K467" s="34">
        <v>57832</v>
      </c>
      <c r="L467" s="34">
        <v>63830</v>
      </c>
      <c r="M467" s="34">
        <v>2286613</v>
      </c>
      <c r="N467" s="20">
        <v>207030</v>
      </c>
      <c r="O467" s="20">
        <v>3661087</v>
      </c>
      <c r="P467" s="34">
        <v>13023</v>
      </c>
      <c r="Q467" s="20">
        <v>290501</v>
      </c>
      <c r="R467" s="67">
        <v>3964611</v>
      </c>
      <c r="S467" s="72">
        <v>7.3273519142231111E-2</v>
      </c>
      <c r="T467" s="67">
        <v>2107797</v>
      </c>
      <c r="U467" s="2">
        <f t="shared" si="435"/>
        <v>2013</v>
      </c>
      <c r="V467" s="2">
        <f t="shared" si="436"/>
        <v>6</v>
      </c>
      <c r="W467" s="16">
        <f t="shared" ref="W467" si="447">SUM(X467:AD467)</f>
        <v>1677700</v>
      </c>
      <c r="X467" s="67">
        <v>1484817</v>
      </c>
      <c r="Y467" s="67">
        <v>164961</v>
      </c>
      <c r="Z467" s="67">
        <v>2337</v>
      </c>
      <c r="AA467" s="67">
        <v>1562</v>
      </c>
      <c r="AB467" s="67">
        <v>24008</v>
      </c>
      <c r="AC467" s="34">
        <v>4</v>
      </c>
      <c r="AD467" s="34">
        <v>11</v>
      </c>
      <c r="AE467" s="20">
        <f t="shared" ref="AE467" si="448">SUM(AC467:AD467)</f>
        <v>15</v>
      </c>
      <c r="AF467" s="20">
        <f t="shared" ref="AF467" si="449">SUM(X467:AB467)</f>
        <v>1677685</v>
      </c>
      <c r="AG467" s="20"/>
    </row>
    <row r="468" spans="1:33">
      <c r="A468" s="2">
        <f t="shared" si="264"/>
        <v>2013</v>
      </c>
      <c r="B468" s="2">
        <f t="shared" si="138"/>
        <v>7</v>
      </c>
      <c r="C468" s="57">
        <f t="shared" si="425"/>
        <v>3732543</v>
      </c>
      <c r="D468" s="34">
        <v>1908035</v>
      </c>
      <c r="E468" s="34">
        <v>1105187</v>
      </c>
      <c r="F468" s="34">
        <v>273508</v>
      </c>
      <c r="G468" s="34">
        <v>89215</v>
      </c>
      <c r="H468" s="59">
        <v>184293</v>
      </c>
      <c r="I468" s="34">
        <v>2051</v>
      </c>
      <c r="J468" s="34">
        <v>269906</v>
      </c>
      <c r="K468" s="34">
        <v>89037</v>
      </c>
      <c r="L468" s="34">
        <v>84819</v>
      </c>
      <c r="M468" s="34">
        <v>2259227</v>
      </c>
      <c r="N468" s="20">
        <v>-27386</v>
      </c>
      <c r="O468" s="20">
        <v>3705157</v>
      </c>
      <c r="P468" s="34">
        <v>12223</v>
      </c>
      <c r="Q468" s="20">
        <v>265906</v>
      </c>
      <c r="R468" s="67">
        <v>3983286</v>
      </c>
      <c r="S468" s="72">
        <v>6.6755437595994865E-2</v>
      </c>
      <c r="T468" s="67">
        <v>2128523</v>
      </c>
      <c r="U468" s="2">
        <f t="shared" si="435"/>
        <v>2013</v>
      </c>
      <c r="V468" s="2">
        <f t="shared" si="436"/>
        <v>7</v>
      </c>
      <c r="W468" s="16">
        <f t="shared" ref="W468" si="450">SUM(X468:AD468)</f>
        <v>1679755</v>
      </c>
      <c r="X468" s="67">
        <v>1484608</v>
      </c>
      <c r="Y468" s="67">
        <v>166872</v>
      </c>
      <c r="Z468" s="67">
        <v>2361</v>
      </c>
      <c r="AA468" s="67">
        <v>1563</v>
      </c>
      <c r="AB468" s="67">
        <v>24336</v>
      </c>
      <c r="AC468" s="34">
        <v>4</v>
      </c>
      <c r="AD468" s="34">
        <v>11</v>
      </c>
      <c r="AE468" s="20">
        <f t="shared" ref="AE468" si="451">SUM(AC468:AD468)</f>
        <v>15</v>
      </c>
      <c r="AF468" s="20">
        <f t="shared" ref="AF468" si="452">SUM(X468:AB468)</f>
        <v>1679740</v>
      </c>
      <c r="AG468" s="20"/>
    </row>
    <row r="469" spans="1:33">
      <c r="A469" s="2">
        <f t="shared" si="264"/>
        <v>2013</v>
      </c>
      <c r="B469" s="2">
        <f t="shared" si="138"/>
        <v>8</v>
      </c>
      <c r="C469" s="57">
        <f t="shared" si="425"/>
        <v>3608097</v>
      </c>
      <c r="D469" s="34">
        <v>1820620</v>
      </c>
      <c r="E469" s="34">
        <v>1098100</v>
      </c>
      <c r="F469" s="34">
        <v>279816</v>
      </c>
      <c r="G469" s="34">
        <v>92900</v>
      </c>
      <c r="H469" s="59">
        <v>186916</v>
      </c>
      <c r="I469" s="34">
        <v>2038</v>
      </c>
      <c r="J469" s="34">
        <v>278261</v>
      </c>
      <c r="K469" s="34">
        <v>53302</v>
      </c>
      <c r="L469" s="34">
        <v>75960</v>
      </c>
      <c r="M469" s="34">
        <v>2617784</v>
      </c>
      <c r="N469" s="20">
        <v>358557</v>
      </c>
      <c r="O469" s="20">
        <v>3966654</v>
      </c>
      <c r="P469" s="34">
        <v>9628</v>
      </c>
      <c r="Q469" s="20">
        <v>306803</v>
      </c>
      <c r="R469" s="67">
        <v>4283085</v>
      </c>
      <c r="S469" s="72">
        <v>7.1631312476871226E-2</v>
      </c>
      <c r="T469" s="67">
        <v>2448403</v>
      </c>
      <c r="U469" s="2">
        <f t="shared" si="435"/>
        <v>2013</v>
      </c>
      <c r="V469" s="2">
        <f t="shared" si="436"/>
        <v>8</v>
      </c>
      <c r="W469" s="16">
        <f t="shared" ref="W469" si="453">SUM(X469:AD469)</f>
        <v>1589990</v>
      </c>
      <c r="X469" s="67">
        <v>1402771</v>
      </c>
      <c r="Y469" s="67">
        <v>159944</v>
      </c>
      <c r="Z469" s="67">
        <v>2296</v>
      </c>
      <c r="AA469" s="67">
        <v>1559</v>
      </c>
      <c r="AB469" s="67">
        <v>23404</v>
      </c>
      <c r="AC469" s="34">
        <v>4</v>
      </c>
      <c r="AD469" s="34">
        <v>12</v>
      </c>
      <c r="AE469" s="20">
        <f t="shared" ref="AE469" si="454">SUM(AC469:AD469)</f>
        <v>16</v>
      </c>
      <c r="AF469" s="20">
        <f t="shared" ref="AF469" si="455">SUM(X469:AB469)</f>
        <v>1589974</v>
      </c>
      <c r="AG469" s="20"/>
    </row>
    <row r="470" spans="1:33">
      <c r="A470" s="2">
        <f t="shared" si="264"/>
        <v>2013</v>
      </c>
      <c r="B470" s="2">
        <f t="shared" si="138"/>
        <v>9</v>
      </c>
      <c r="C470" s="57">
        <f t="shared" si="425"/>
        <v>3867230</v>
      </c>
      <c r="D470" s="34">
        <v>1983817</v>
      </c>
      <c r="E470" s="34">
        <v>1130530</v>
      </c>
      <c r="F470" s="34">
        <v>273491</v>
      </c>
      <c r="G470" s="34">
        <v>82893</v>
      </c>
      <c r="H470" s="59">
        <v>190598</v>
      </c>
      <c r="I470" s="34">
        <v>2046</v>
      </c>
      <c r="J470" s="34">
        <v>310836</v>
      </c>
      <c r="K470" s="34">
        <v>73837</v>
      </c>
      <c r="L470" s="34">
        <v>92673</v>
      </c>
      <c r="M470" s="34">
        <v>2337064</v>
      </c>
      <c r="N470" s="20">
        <v>-280720</v>
      </c>
      <c r="O470" s="20">
        <v>3586510</v>
      </c>
      <c r="P470" s="34">
        <v>14904</v>
      </c>
      <c r="Q470" s="20">
        <v>259372</v>
      </c>
      <c r="R470" s="67">
        <v>3860786</v>
      </c>
      <c r="S470" s="72">
        <v>6.7181138762935841E-2</v>
      </c>
      <c r="T470" s="67">
        <v>2177675</v>
      </c>
      <c r="U470" s="2">
        <f t="shared" si="435"/>
        <v>2013</v>
      </c>
      <c r="V470" s="2">
        <f t="shared" si="436"/>
        <v>9</v>
      </c>
      <c r="W470" s="16">
        <f t="shared" ref="W470" si="456">SUM(X470:AD470)</f>
        <v>1671272</v>
      </c>
      <c r="X470" s="67">
        <v>1477554</v>
      </c>
      <c r="Y470" s="67">
        <v>165753</v>
      </c>
      <c r="Z470" s="67">
        <v>2314</v>
      </c>
      <c r="AA470" s="67">
        <v>1561</v>
      </c>
      <c r="AB470" s="67">
        <v>24074</v>
      </c>
      <c r="AC470" s="34">
        <v>4</v>
      </c>
      <c r="AD470" s="34">
        <v>12</v>
      </c>
      <c r="AE470" s="20">
        <f t="shared" ref="AE470" si="457">SUM(AC470:AD470)</f>
        <v>16</v>
      </c>
      <c r="AF470" s="20">
        <f t="shared" ref="AF470" si="458">SUM(X470:AB470)</f>
        <v>1671256</v>
      </c>
      <c r="AG470" s="20"/>
    </row>
    <row r="471" spans="1:33">
      <c r="A471" s="2">
        <f t="shared" si="264"/>
        <v>2013</v>
      </c>
      <c r="B471" s="2">
        <f t="shared" si="138"/>
        <v>10</v>
      </c>
      <c r="C471" s="57">
        <f t="shared" si="425"/>
        <v>3538479</v>
      </c>
      <c r="D471" s="34">
        <v>1774337</v>
      </c>
      <c r="E471" s="34">
        <v>1069777</v>
      </c>
      <c r="F471" s="34">
        <v>248953</v>
      </c>
      <c r="G471" s="34">
        <v>76613</v>
      </c>
      <c r="H471" s="59">
        <v>172340</v>
      </c>
      <c r="I471" s="34">
        <v>2099</v>
      </c>
      <c r="J471" s="34">
        <v>289227</v>
      </c>
      <c r="K471" s="34">
        <v>73628</v>
      </c>
      <c r="L471" s="34">
        <v>80458</v>
      </c>
      <c r="M471" s="34">
        <v>2083806</v>
      </c>
      <c r="N471" s="20">
        <v>-253258</v>
      </c>
      <c r="O471" s="20">
        <v>3285221</v>
      </c>
      <c r="P471" s="34">
        <v>8321</v>
      </c>
      <c r="Q471" s="20">
        <v>223385</v>
      </c>
      <c r="R471" s="67">
        <v>3516927</v>
      </c>
      <c r="S471" s="72">
        <v>6.3517098876377021E-2</v>
      </c>
      <c r="T471" s="67">
        <v>1937881</v>
      </c>
      <c r="U471" s="2">
        <f t="shared" si="435"/>
        <v>2013</v>
      </c>
      <c r="V471" s="2">
        <f t="shared" si="436"/>
        <v>10</v>
      </c>
      <c r="W471" s="16">
        <f t="shared" si="437"/>
        <v>1686866</v>
      </c>
      <c r="X471" s="67">
        <v>1491852</v>
      </c>
      <c r="Y471" s="67">
        <v>166811</v>
      </c>
      <c r="Z471" s="67">
        <v>2324</v>
      </c>
      <c r="AA471" s="67">
        <v>1561</v>
      </c>
      <c r="AB471" s="67">
        <v>24302</v>
      </c>
      <c r="AC471" s="34">
        <v>4</v>
      </c>
      <c r="AD471" s="34">
        <v>12</v>
      </c>
      <c r="AE471" s="20">
        <f t="shared" ref="AE471" si="459">SUM(AC471:AD471)</f>
        <v>16</v>
      </c>
      <c r="AF471" s="20">
        <f t="shared" ref="AF471" si="460">SUM(X471:AB471)</f>
        <v>1686850</v>
      </c>
      <c r="AG471" s="20"/>
    </row>
    <row r="472" spans="1:33">
      <c r="A472" s="2">
        <f t="shared" si="264"/>
        <v>2013</v>
      </c>
      <c r="B472" s="2">
        <f t="shared" si="138"/>
        <v>11</v>
      </c>
      <c r="C472" s="57">
        <f t="shared" si="425"/>
        <v>3083421</v>
      </c>
      <c r="D472" s="34">
        <v>1419737</v>
      </c>
      <c r="E472" s="34">
        <v>960526</v>
      </c>
      <c r="F472" s="34">
        <v>288444</v>
      </c>
      <c r="G472" s="34">
        <v>94849</v>
      </c>
      <c r="H472" s="59">
        <v>193595</v>
      </c>
      <c r="I472" s="34">
        <v>2053</v>
      </c>
      <c r="J472" s="34">
        <v>272013</v>
      </c>
      <c r="K472" s="34">
        <v>59558</v>
      </c>
      <c r="L472" s="34">
        <v>81090</v>
      </c>
      <c r="M472" s="34">
        <v>1771160</v>
      </c>
      <c r="N472" s="20">
        <v>-312646</v>
      </c>
      <c r="O472" s="20">
        <v>2770775</v>
      </c>
      <c r="P472" s="34">
        <v>13310</v>
      </c>
      <c r="Q472" s="20">
        <v>127639</v>
      </c>
      <c r="R472" s="67">
        <v>2911724</v>
      </c>
      <c r="S472" s="72">
        <v>4.3836228983241542E-2</v>
      </c>
      <c r="T472" s="67">
        <v>1667763</v>
      </c>
      <c r="U472" s="2">
        <f t="shared" si="435"/>
        <v>2013</v>
      </c>
      <c r="V472" s="2">
        <f t="shared" si="436"/>
        <v>11</v>
      </c>
      <c r="W472" s="16">
        <f t="shared" ref="W472" si="461">SUM(X472:AD472)</f>
        <v>1780185</v>
      </c>
      <c r="X472" s="67">
        <v>1575906</v>
      </c>
      <c r="Y472" s="67">
        <v>174953</v>
      </c>
      <c r="Z472" s="67">
        <v>2431</v>
      </c>
      <c r="AA472" s="67">
        <v>1562</v>
      </c>
      <c r="AB472" s="67">
        <v>25319</v>
      </c>
      <c r="AC472" s="34">
        <v>4</v>
      </c>
      <c r="AD472" s="34">
        <v>10</v>
      </c>
      <c r="AE472" s="20">
        <f t="shared" ref="AE472" si="462">SUM(AC472:AD472)</f>
        <v>14</v>
      </c>
      <c r="AF472" s="20">
        <f t="shared" ref="AF472" si="463">SUM(X472:AB472)</f>
        <v>1780171</v>
      </c>
      <c r="AG472" s="20"/>
    </row>
    <row r="473" spans="1:33" s="26" customFormat="1" ht="15">
      <c r="A473" s="26">
        <f t="shared" si="264"/>
        <v>2013</v>
      </c>
      <c r="B473" s="26">
        <f t="shared" si="138"/>
        <v>12</v>
      </c>
      <c r="C473" s="61">
        <f t="shared" si="425"/>
        <v>2905340</v>
      </c>
      <c r="D473" s="13">
        <v>1366063</v>
      </c>
      <c r="E473" s="13">
        <v>922218</v>
      </c>
      <c r="F473" s="13">
        <v>260213</v>
      </c>
      <c r="G473" s="13">
        <v>90419</v>
      </c>
      <c r="H473" s="63">
        <v>169794</v>
      </c>
      <c r="I473" s="13">
        <v>2132</v>
      </c>
      <c r="J473" s="13">
        <v>252543</v>
      </c>
      <c r="K473" s="13">
        <v>29447</v>
      </c>
      <c r="L473" s="13">
        <v>72724</v>
      </c>
      <c r="M473" s="13">
        <v>1632481</v>
      </c>
      <c r="N473" s="47">
        <v>-138679</v>
      </c>
      <c r="O473" s="47">
        <v>2766661</v>
      </c>
      <c r="P473" s="13">
        <v>21529</v>
      </c>
      <c r="Q473" s="47">
        <v>179236</v>
      </c>
      <c r="R473" s="69">
        <v>2967426</v>
      </c>
      <c r="S473" s="82">
        <v>6.0401169228819857E-2</v>
      </c>
      <c r="T473" s="69">
        <v>1533817</v>
      </c>
      <c r="U473" s="26">
        <f t="shared" si="435"/>
        <v>2013</v>
      </c>
      <c r="V473" s="26">
        <f t="shared" si="436"/>
        <v>12</v>
      </c>
      <c r="W473" s="27">
        <f t="shared" ref="W473" si="464">SUM(X473:AD473)</f>
        <v>1861159</v>
      </c>
      <c r="X473" s="100">
        <v>1656929</v>
      </c>
      <c r="Y473" s="100">
        <v>175057</v>
      </c>
      <c r="Z473" s="100">
        <v>2315</v>
      </c>
      <c r="AA473" s="100">
        <v>1562</v>
      </c>
      <c r="AB473" s="100">
        <v>25281</v>
      </c>
      <c r="AC473" s="13">
        <v>4</v>
      </c>
      <c r="AD473" s="13">
        <v>11</v>
      </c>
      <c r="AE473" s="47">
        <f t="shared" ref="AE473" si="465">SUM(AC473:AD473)</f>
        <v>15</v>
      </c>
      <c r="AF473" s="47">
        <f t="shared" ref="AF473" si="466">SUM(X473:AB473)</f>
        <v>1861144</v>
      </c>
      <c r="AG473" s="47"/>
    </row>
    <row r="474" spans="1:33">
      <c r="C474" s="57"/>
      <c r="D474" s="84"/>
      <c r="E474" s="84"/>
      <c r="F474" s="85"/>
      <c r="G474" s="99"/>
      <c r="H474" s="59"/>
      <c r="I474" s="86"/>
      <c r="J474" s="86"/>
      <c r="K474" s="86"/>
      <c r="L474" s="86"/>
      <c r="M474" s="79"/>
      <c r="N474" s="20"/>
      <c r="O474" s="20"/>
      <c r="P474" s="81"/>
      <c r="Q474" s="20"/>
      <c r="R474" s="80"/>
      <c r="S474" s="72"/>
      <c r="T474" s="81"/>
      <c r="W474" s="16"/>
      <c r="X474" s="79"/>
      <c r="Y474" s="79"/>
      <c r="Z474" s="79"/>
      <c r="AA474" s="79"/>
      <c r="AB474" s="79"/>
      <c r="AC474" s="79"/>
      <c r="AD474" s="79"/>
      <c r="AE474" s="20"/>
      <c r="AF474" s="20"/>
      <c r="AG474" s="20"/>
    </row>
    <row r="475" spans="1:33">
      <c r="C475" s="57"/>
      <c r="D475" s="84"/>
      <c r="E475" s="84"/>
      <c r="F475" s="85"/>
      <c r="G475" s="99"/>
      <c r="H475" s="59"/>
      <c r="I475" s="86"/>
      <c r="J475" s="86"/>
      <c r="K475" s="86"/>
      <c r="L475" s="86"/>
      <c r="M475" s="79"/>
      <c r="N475" s="20"/>
      <c r="O475" s="20"/>
      <c r="P475" s="81"/>
      <c r="Q475" s="20"/>
      <c r="R475" s="80"/>
      <c r="S475" s="72"/>
      <c r="T475" s="81"/>
      <c r="W475" s="16"/>
      <c r="X475" s="79"/>
      <c r="Y475" s="79"/>
      <c r="Z475" s="79"/>
      <c r="AA475" s="79"/>
      <c r="AB475" s="79"/>
      <c r="AC475" s="79"/>
      <c r="AD475" s="79"/>
      <c r="AE475" s="20"/>
      <c r="AF475" s="20"/>
      <c r="AG475" s="20"/>
    </row>
    <row r="476" spans="1:33">
      <c r="C476" s="57"/>
      <c r="D476" s="84"/>
      <c r="E476" s="84"/>
      <c r="F476" s="85"/>
      <c r="G476" s="99"/>
      <c r="H476" s="59"/>
      <c r="I476" s="86"/>
      <c r="J476" s="86"/>
      <c r="K476" s="86"/>
      <c r="L476" s="86"/>
      <c r="M476" s="79"/>
      <c r="N476" s="20"/>
      <c r="O476" s="20"/>
      <c r="P476" s="81"/>
      <c r="Q476" s="20"/>
      <c r="R476" s="80"/>
      <c r="S476" s="72"/>
      <c r="T476" s="81"/>
      <c r="W476" s="16"/>
      <c r="X476" s="79"/>
      <c r="Y476" s="79"/>
      <c r="Z476" s="79"/>
      <c r="AA476" s="79"/>
      <c r="AB476" s="79"/>
      <c r="AC476" s="79"/>
      <c r="AD476" s="79"/>
      <c r="AE476" s="20"/>
      <c r="AF476" s="20"/>
      <c r="AG476" s="20"/>
    </row>
    <row r="477" spans="1:33">
      <c r="C477" s="57"/>
      <c r="D477" s="102"/>
      <c r="E477" s="84"/>
      <c r="F477" s="85"/>
      <c r="G477" s="99"/>
      <c r="H477" s="59"/>
      <c r="I477" s="86"/>
      <c r="J477" s="86"/>
      <c r="K477" s="86"/>
      <c r="L477" s="86"/>
      <c r="M477" s="79"/>
      <c r="N477" s="20"/>
      <c r="O477" s="20"/>
      <c r="P477" s="81"/>
      <c r="Q477" s="20"/>
      <c r="R477" s="80"/>
      <c r="S477" s="72"/>
      <c r="T477" s="81"/>
      <c r="W477" s="16"/>
      <c r="X477" s="79"/>
      <c r="Y477" s="79"/>
      <c r="Z477" s="79"/>
      <c r="AA477" s="79"/>
      <c r="AB477" s="79"/>
      <c r="AC477" s="79"/>
      <c r="AD477" s="79"/>
      <c r="AE477" s="20"/>
      <c r="AF477" s="20"/>
      <c r="AG477" s="20"/>
    </row>
    <row r="478" spans="1:33">
      <c r="C478" s="57"/>
      <c r="D478" s="102"/>
      <c r="E478" s="84"/>
      <c r="F478" s="85"/>
      <c r="G478" s="99"/>
      <c r="H478" s="59"/>
      <c r="I478" s="86"/>
      <c r="J478" s="86"/>
      <c r="K478" s="86"/>
      <c r="L478" s="86"/>
      <c r="M478" s="79"/>
      <c r="N478" s="20"/>
      <c r="O478" s="20"/>
      <c r="P478" s="81"/>
      <c r="Q478" s="20"/>
      <c r="R478" s="80"/>
      <c r="S478" s="72"/>
      <c r="T478" s="81"/>
      <c r="W478" s="16"/>
      <c r="X478" s="79"/>
      <c r="Y478" s="79"/>
      <c r="Z478" s="79"/>
      <c r="AA478" s="79"/>
      <c r="AB478" s="79"/>
      <c r="AC478" s="79"/>
      <c r="AD478" s="79"/>
      <c r="AE478" s="20"/>
      <c r="AF478" s="20"/>
      <c r="AG478" s="20"/>
    </row>
    <row r="479" spans="1:33">
      <c r="C479" s="22"/>
      <c r="E479" s="84"/>
      <c r="F479" s="85"/>
      <c r="W479" s="22"/>
      <c r="X479" s="22"/>
      <c r="Y479" s="22"/>
      <c r="Z479" s="22"/>
      <c r="AA479" s="22"/>
      <c r="AB479" s="22"/>
      <c r="AC479" s="22"/>
      <c r="AD479" s="22"/>
      <c r="AG479" s="20"/>
    </row>
    <row r="480" spans="1:33">
      <c r="C480" s="22"/>
      <c r="E480" s="84"/>
      <c r="F480" s="85"/>
      <c r="W480" s="22"/>
      <c r="X480" s="22"/>
      <c r="Y480" s="22"/>
      <c r="Z480" s="22"/>
      <c r="AA480" s="22"/>
      <c r="AB480" s="22"/>
      <c r="AC480" s="22"/>
      <c r="AD480" s="22"/>
      <c r="AG480" s="20"/>
    </row>
    <row r="481" spans="3:33">
      <c r="C481" s="22"/>
      <c r="E481" s="84"/>
      <c r="F481" s="85"/>
      <c r="W481" s="22"/>
      <c r="X481" s="22"/>
      <c r="Y481" s="22"/>
      <c r="Z481" s="22"/>
      <c r="AA481" s="22"/>
      <c r="AB481" s="22"/>
      <c r="AC481" s="22"/>
      <c r="AD481" s="22"/>
      <c r="AG481" s="20"/>
    </row>
    <row r="482" spans="3:33">
      <c r="C482" s="22"/>
      <c r="E482" s="84"/>
      <c r="F482" s="85"/>
      <c r="W482" s="22"/>
      <c r="X482" s="22"/>
      <c r="Y482" s="22"/>
      <c r="Z482" s="22"/>
      <c r="AA482" s="22"/>
      <c r="AB482" s="22"/>
      <c r="AC482" s="22"/>
      <c r="AD482" s="22"/>
      <c r="AG482" s="20"/>
    </row>
    <row r="483" spans="3:33">
      <c r="C483" s="22"/>
      <c r="W483" s="22"/>
      <c r="X483" s="22"/>
      <c r="Y483" s="22"/>
      <c r="Z483" s="22"/>
      <c r="AA483" s="22"/>
      <c r="AB483" s="22"/>
      <c r="AC483" s="22"/>
      <c r="AD483" s="22"/>
      <c r="AG483" s="20"/>
    </row>
    <row r="484" spans="3:33">
      <c r="C484" s="22"/>
      <c r="W484" s="22"/>
      <c r="X484" s="22"/>
      <c r="Y484" s="22"/>
      <c r="Z484" s="22"/>
      <c r="AA484" s="22"/>
      <c r="AB484" s="22"/>
      <c r="AC484" s="22"/>
      <c r="AD484" s="22"/>
      <c r="AG484" s="20"/>
    </row>
    <row r="485" spans="3:33">
      <c r="C485" s="22"/>
      <c r="W485" s="22"/>
      <c r="X485" s="22"/>
      <c r="Y485" s="22"/>
      <c r="Z485" s="22"/>
      <c r="AA485" s="22"/>
      <c r="AB485" s="22"/>
      <c r="AC485" s="22"/>
      <c r="AD485" s="22"/>
      <c r="AG485" s="20"/>
    </row>
    <row r="486" spans="3:33">
      <c r="C486" s="22"/>
      <c r="W486" s="22"/>
      <c r="X486" s="22"/>
      <c r="Y486" s="22"/>
      <c r="Z486" s="22"/>
      <c r="AA486" s="22"/>
      <c r="AB486" s="22"/>
      <c r="AC486" s="22"/>
      <c r="AD486" s="22"/>
      <c r="AG486" s="20"/>
    </row>
    <row r="487" spans="3:33">
      <c r="C487" s="22"/>
      <c r="W487" s="22"/>
      <c r="X487" s="22"/>
      <c r="Y487" s="22"/>
      <c r="Z487" s="22"/>
      <c r="AA487" s="22"/>
      <c r="AB487" s="22"/>
      <c r="AC487" s="22"/>
      <c r="AD487" s="22"/>
      <c r="AG487" s="20"/>
    </row>
    <row r="488" spans="3:33">
      <c r="C488" s="22"/>
      <c r="W488" s="22"/>
      <c r="X488" s="22"/>
      <c r="Y488" s="22"/>
      <c r="Z488" s="22"/>
      <c r="AA488" s="22"/>
      <c r="AB488" s="22"/>
      <c r="AC488" s="22"/>
      <c r="AD488" s="22"/>
    </row>
    <row r="489" spans="3:33">
      <c r="C489" s="22"/>
      <c r="W489" s="22"/>
      <c r="X489" s="22"/>
      <c r="Y489" s="22"/>
      <c r="Z489" s="22"/>
      <c r="AA489" s="22"/>
      <c r="AB489" s="22"/>
      <c r="AC489" s="22"/>
      <c r="AD489" s="22"/>
    </row>
    <row r="490" spans="3:33">
      <c r="C490" s="22"/>
      <c r="W490" s="22"/>
      <c r="X490" s="22"/>
      <c r="Y490" s="22"/>
      <c r="Z490" s="22"/>
      <c r="AA490" s="22"/>
      <c r="AB490" s="22"/>
      <c r="AC490" s="22"/>
      <c r="AD490" s="22"/>
    </row>
    <row r="491" spans="3:33">
      <c r="C491" s="22"/>
      <c r="W491" s="22"/>
      <c r="X491" s="22"/>
      <c r="Y491" s="22"/>
      <c r="Z491" s="22"/>
      <c r="AA491" s="22"/>
      <c r="AB491" s="22"/>
      <c r="AC491" s="22"/>
      <c r="AD491" s="22"/>
    </row>
    <row r="492" spans="3:33">
      <c r="C492" s="22"/>
      <c r="W492" s="22"/>
      <c r="X492" s="22"/>
      <c r="Y492" s="22"/>
      <c r="Z492" s="22"/>
      <c r="AA492" s="22"/>
      <c r="AB492" s="22"/>
      <c r="AC492" s="22"/>
      <c r="AD492" s="22"/>
    </row>
  </sheetData>
  <phoneticPr fontId="0" type="noConversion"/>
  <printOptions horizontalCentered="1" verticalCentered="1"/>
  <pageMargins left="0.5" right="0.5" top="0.5" bottom="0.55000000000000004" header="0.5" footer="0.5"/>
  <pageSetup orientation="portrait" r:id="rId1"/>
  <headerFooter alignWithMargins="0">
    <oddFooter>&amp;L&amp;D    BUSINESS PLANNING&amp;R14LGBRA-NRGPOD1-6-DOC 36
14BGBRA-STAFFROG1-19A-DOC 36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U529"/>
  <sheetViews>
    <sheetView tabSelected="1" zoomScale="80" zoomScaleNormal="80" workbookViewId="0">
      <pane xSplit="2" ySplit="5" topLeftCell="C501" activePane="bottomRight" state="frozen"/>
      <selection activeCell="E477" sqref="E477"/>
      <selection pane="topRight" activeCell="E477" sqref="E477"/>
      <selection pane="bottomLeft" activeCell="E477" sqref="E477"/>
      <selection pane="bottomRight" activeCell="E477" sqref="E477"/>
    </sheetView>
  </sheetViews>
  <sheetFormatPr defaultColWidth="9.77734375" defaultRowHeight="12.75"/>
  <cols>
    <col min="1" max="1" width="6.77734375" style="2" customWidth="1"/>
    <col min="2" max="2" width="3.88671875" style="2" customWidth="1"/>
    <col min="3" max="3" width="6.77734375" style="2" bestFit="1" customWidth="1"/>
    <col min="4" max="5" width="6.33203125" style="2" bestFit="1" customWidth="1"/>
    <col min="6" max="6" width="5.44140625" style="2" bestFit="1" customWidth="1"/>
    <col min="7" max="7" width="3.88671875" style="2" bestFit="1" customWidth="1"/>
    <col min="8" max="8" width="6.33203125" style="2" bestFit="1" customWidth="1"/>
    <col min="9" max="9" width="5.5546875" style="2" bestFit="1" customWidth="1"/>
    <col min="10" max="10" width="6" style="2" bestFit="1" customWidth="1"/>
    <col min="11" max="13" width="1.88671875" style="2" customWidth="1"/>
    <col min="14" max="14" width="5" style="2" bestFit="1" customWidth="1"/>
    <col min="15" max="15" width="3.33203125" style="2" customWidth="1"/>
    <col min="16" max="17" width="8" style="2" bestFit="1" customWidth="1"/>
    <col min="18" max="18" width="7.21875" style="2" bestFit="1" customWidth="1"/>
    <col min="19" max="19" width="4.44140625" style="2" bestFit="1" customWidth="1"/>
    <col min="20" max="20" width="6.6640625" style="2" bestFit="1" customWidth="1"/>
    <col min="21" max="21" width="6" style="2" customWidth="1"/>
    <col min="22" max="16384" width="9.77734375" style="2"/>
  </cols>
  <sheetData>
    <row r="1" spans="1:21">
      <c r="A1" s="5" t="s">
        <v>29</v>
      </c>
      <c r="O1" s="5" t="s">
        <v>30</v>
      </c>
    </row>
    <row r="4" spans="1:21">
      <c r="C4" s="7" t="s">
        <v>3</v>
      </c>
      <c r="I4" s="7" t="s">
        <v>4</v>
      </c>
      <c r="J4" s="7" t="s">
        <v>5</v>
      </c>
      <c r="P4" s="7" t="s">
        <v>3</v>
      </c>
      <c r="T4" s="7" t="s">
        <v>4</v>
      </c>
      <c r="U4" s="7" t="s">
        <v>5</v>
      </c>
    </row>
    <row r="5" spans="1:21">
      <c r="A5" s="7" t="s">
        <v>11</v>
      </c>
      <c r="B5" s="7" t="s">
        <v>12</v>
      </c>
      <c r="C5" s="7" t="s">
        <v>9</v>
      </c>
      <c r="D5" s="7" t="s">
        <v>13</v>
      </c>
      <c r="E5" s="7" t="s">
        <v>14</v>
      </c>
      <c r="F5" s="7" t="s">
        <v>15</v>
      </c>
      <c r="G5" s="5" t="s">
        <v>16</v>
      </c>
      <c r="H5" s="5" t="s">
        <v>17</v>
      </c>
      <c r="I5" s="7" t="s">
        <v>18</v>
      </c>
      <c r="J5" s="7" t="s">
        <v>19</v>
      </c>
      <c r="N5" s="7" t="s">
        <v>11</v>
      </c>
      <c r="O5" s="7" t="s">
        <v>12</v>
      </c>
      <c r="P5" s="7" t="s">
        <v>9</v>
      </c>
      <c r="Q5" s="7" t="s">
        <v>13</v>
      </c>
      <c r="R5" s="7" t="s">
        <v>14</v>
      </c>
      <c r="S5" s="7" t="s">
        <v>15</v>
      </c>
      <c r="T5" s="7" t="s">
        <v>18</v>
      </c>
      <c r="U5" s="7" t="s">
        <v>19</v>
      </c>
    </row>
    <row r="6" spans="1:21">
      <c r="A6" s="2">
        <v>1975</v>
      </c>
      <c r="B6" s="2">
        <v>1</v>
      </c>
      <c r="N6" s="2">
        <v>1975</v>
      </c>
      <c r="O6" s="2">
        <v>1</v>
      </c>
    </row>
    <row r="7" spans="1:21">
      <c r="A7" s="2">
        <v>1975</v>
      </c>
      <c r="B7" s="2">
        <v>2</v>
      </c>
      <c r="N7" s="2">
        <v>1975</v>
      </c>
      <c r="O7" s="2">
        <v>2</v>
      </c>
    </row>
    <row r="8" spans="1:21">
      <c r="A8" s="2">
        <v>1975</v>
      </c>
      <c r="B8" s="2">
        <v>3</v>
      </c>
      <c r="N8" s="2">
        <v>1975</v>
      </c>
      <c r="O8" s="2">
        <v>3</v>
      </c>
    </row>
    <row r="9" spans="1:21">
      <c r="A9" s="2">
        <v>1975</v>
      </c>
      <c r="B9" s="2">
        <v>4</v>
      </c>
      <c r="N9" s="2">
        <v>1975</v>
      </c>
      <c r="O9" s="2">
        <v>4</v>
      </c>
    </row>
    <row r="10" spans="1:21">
      <c r="A10" s="2">
        <v>1975</v>
      </c>
      <c r="B10" s="2">
        <v>5</v>
      </c>
      <c r="N10" s="2">
        <v>1975</v>
      </c>
      <c r="O10" s="2">
        <v>5</v>
      </c>
    </row>
    <row r="11" spans="1:21">
      <c r="A11" s="2">
        <v>1975</v>
      </c>
      <c r="B11" s="2">
        <v>6</v>
      </c>
      <c r="N11" s="2">
        <v>1975</v>
      </c>
      <c r="O11" s="2">
        <v>6</v>
      </c>
    </row>
    <row r="12" spans="1:21">
      <c r="A12" s="2">
        <v>1975</v>
      </c>
      <c r="B12" s="2">
        <v>7</v>
      </c>
      <c r="N12" s="2">
        <v>1975</v>
      </c>
      <c r="O12" s="2">
        <v>7</v>
      </c>
    </row>
    <row r="13" spans="1:21">
      <c r="A13" s="2">
        <v>1975</v>
      </c>
      <c r="B13" s="2">
        <v>8</v>
      </c>
      <c r="N13" s="2">
        <v>1975</v>
      </c>
      <c r="O13" s="2">
        <v>8</v>
      </c>
    </row>
    <row r="14" spans="1:21">
      <c r="A14" s="2">
        <v>1975</v>
      </c>
      <c r="B14" s="2">
        <v>9</v>
      </c>
      <c r="N14" s="2">
        <v>1975</v>
      </c>
      <c r="O14" s="2">
        <v>9</v>
      </c>
    </row>
    <row r="15" spans="1:21">
      <c r="A15" s="2">
        <v>1975</v>
      </c>
      <c r="B15" s="2">
        <v>10</v>
      </c>
      <c r="N15" s="2">
        <v>1975</v>
      </c>
      <c r="O15" s="2">
        <v>10</v>
      </c>
    </row>
    <row r="16" spans="1:21">
      <c r="A16" s="2">
        <v>1975</v>
      </c>
      <c r="B16" s="2">
        <v>11</v>
      </c>
      <c r="N16" s="2">
        <v>1975</v>
      </c>
      <c r="O16" s="2">
        <v>11</v>
      </c>
    </row>
    <row r="17" spans="1:15">
      <c r="A17" s="2">
        <v>1975</v>
      </c>
      <c r="B17" s="2">
        <v>12</v>
      </c>
      <c r="N17" s="2">
        <v>1975</v>
      </c>
      <c r="O17" s="2">
        <v>12</v>
      </c>
    </row>
    <row r="18" spans="1:15">
      <c r="A18" s="2">
        <v>1976</v>
      </c>
      <c r="B18" s="2">
        <v>1</v>
      </c>
      <c r="N18" s="2">
        <v>1976</v>
      </c>
      <c r="O18" s="2">
        <v>1</v>
      </c>
    </row>
    <row r="19" spans="1:15">
      <c r="A19" s="2">
        <v>1976</v>
      </c>
      <c r="B19" s="2">
        <v>2</v>
      </c>
      <c r="N19" s="2">
        <v>1976</v>
      </c>
      <c r="O19" s="2">
        <v>2</v>
      </c>
    </row>
    <row r="20" spans="1:15">
      <c r="A20" s="2">
        <v>1976</v>
      </c>
      <c r="B20" s="2">
        <v>3</v>
      </c>
      <c r="N20" s="2">
        <v>1976</v>
      </c>
      <c r="O20" s="2">
        <v>3</v>
      </c>
    </row>
    <row r="21" spans="1:15">
      <c r="A21" s="2">
        <v>1976</v>
      </c>
      <c r="B21" s="2">
        <v>4</v>
      </c>
      <c r="N21" s="2">
        <v>1976</v>
      </c>
      <c r="O21" s="2">
        <v>4</v>
      </c>
    </row>
    <row r="22" spans="1:15">
      <c r="A22" s="2">
        <v>1976</v>
      </c>
      <c r="B22" s="2">
        <v>5</v>
      </c>
      <c r="N22" s="2">
        <v>1976</v>
      </c>
      <c r="O22" s="2">
        <v>5</v>
      </c>
    </row>
    <row r="23" spans="1:15">
      <c r="A23" s="2">
        <v>1976</v>
      </c>
      <c r="B23" s="2">
        <v>6</v>
      </c>
      <c r="N23" s="2">
        <v>1976</v>
      </c>
      <c r="O23" s="2">
        <v>6</v>
      </c>
    </row>
    <row r="24" spans="1:15">
      <c r="A24" s="2">
        <v>1976</v>
      </c>
      <c r="B24" s="2">
        <v>7</v>
      </c>
      <c r="N24" s="2">
        <v>1976</v>
      </c>
      <c r="O24" s="2">
        <v>7</v>
      </c>
    </row>
    <row r="25" spans="1:15">
      <c r="A25" s="2">
        <v>1976</v>
      </c>
      <c r="B25" s="2">
        <v>8</v>
      </c>
      <c r="N25" s="2">
        <v>1976</v>
      </c>
      <c r="O25" s="2">
        <v>8</v>
      </c>
    </row>
    <row r="26" spans="1:15">
      <c r="A26" s="2">
        <v>1976</v>
      </c>
      <c r="B26" s="2">
        <v>9</v>
      </c>
      <c r="N26" s="2">
        <v>1976</v>
      </c>
      <c r="O26" s="2">
        <v>9</v>
      </c>
    </row>
    <row r="27" spans="1:15">
      <c r="A27" s="2">
        <v>1976</v>
      </c>
      <c r="B27" s="2">
        <v>10</v>
      </c>
      <c r="N27" s="2">
        <v>1976</v>
      </c>
      <c r="O27" s="2">
        <v>10</v>
      </c>
    </row>
    <row r="28" spans="1:15">
      <c r="A28" s="2">
        <v>1976</v>
      </c>
      <c r="B28" s="2">
        <v>11</v>
      </c>
      <c r="N28" s="2">
        <v>1976</v>
      </c>
      <c r="O28" s="2">
        <v>11</v>
      </c>
    </row>
    <row r="29" spans="1:15">
      <c r="A29" s="2">
        <v>1976</v>
      </c>
      <c r="B29" s="2">
        <v>12</v>
      </c>
      <c r="N29" s="2">
        <v>1976</v>
      </c>
      <c r="O29" s="2">
        <v>12</v>
      </c>
    </row>
    <row r="30" spans="1:15">
      <c r="A30" s="2">
        <v>1977</v>
      </c>
      <c r="B30" s="2">
        <v>1</v>
      </c>
      <c r="N30" s="2">
        <v>1977</v>
      </c>
      <c r="O30" s="2">
        <v>1</v>
      </c>
    </row>
    <row r="31" spans="1:15">
      <c r="A31" s="2">
        <v>1977</v>
      </c>
      <c r="B31" s="2">
        <v>2</v>
      </c>
      <c r="N31" s="2">
        <v>1977</v>
      </c>
      <c r="O31" s="2">
        <v>2</v>
      </c>
    </row>
    <row r="32" spans="1:15">
      <c r="A32" s="2">
        <v>1977</v>
      </c>
      <c r="B32" s="2">
        <v>3</v>
      </c>
      <c r="N32" s="2">
        <v>1977</v>
      </c>
      <c r="O32" s="2">
        <v>3</v>
      </c>
    </row>
    <row r="33" spans="1:15">
      <c r="A33" s="2">
        <v>1977</v>
      </c>
      <c r="B33" s="2">
        <v>4</v>
      </c>
      <c r="N33" s="2">
        <v>1977</v>
      </c>
      <c r="O33" s="2">
        <v>4</v>
      </c>
    </row>
    <row r="34" spans="1:15">
      <c r="A34" s="2">
        <v>1977</v>
      </c>
      <c r="B34" s="2">
        <v>5</v>
      </c>
      <c r="N34" s="2">
        <v>1977</v>
      </c>
      <c r="O34" s="2">
        <v>5</v>
      </c>
    </row>
    <row r="35" spans="1:15">
      <c r="A35" s="2">
        <v>1977</v>
      </c>
      <c r="B35" s="2">
        <v>6</v>
      </c>
      <c r="N35" s="2">
        <v>1977</v>
      </c>
      <c r="O35" s="2">
        <v>6</v>
      </c>
    </row>
    <row r="36" spans="1:15">
      <c r="A36" s="2">
        <v>1977</v>
      </c>
      <c r="B36" s="2">
        <v>7</v>
      </c>
      <c r="N36" s="2">
        <v>1977</v>
      </c>
      <c r="O36" s="2">
        <v>7</v>
      </c>
    </row>
    <row r="37" spans="1:15">
      <c r="A37" s="2">
        <v>1977</v>
      </c>
      <c r="B37" s="2">
        <v>8</v>
      </c>
      <c r="N37" s="2">
        <v>1977</v>
      </c>
      <c r="O37" s="2">
        <v>8</v>
      </c>
    </row>
    <row r="38" spans="1:15">
      <c r="A38" s="2">
        <v>1977</v>
      </c>
      <c r="B38" s="2">
        <v>9</v>
      </c>
      <c r="N38" s="2">
        <v>1977</v>
      </c>
      <c r="O38" s="2">
        <v>9</v>
      </c>
    </row>
    <row r="39" spans="1:15">
      <c r="A39" s="2">
        <v>1977</v>
      </c>
      <c r="B39" s="2">
        <v>10</v>
      </c>
      <c r="N39" s="2">
        <v>1977</v>
      </c>
      <c r="O39" s="2">
        <v>10</v>
      </c>
    </row>
    <row r="40" spans="1:15">
      <c r="A40" s="2">
        <v>1977</v>
      </c>
      <c r="B40" s="2">
        <v>11</v>
      </c>
      <c r="N40" s="2">
        <v>1977</v>
      </c>
      <c r="O40" s="2">
        <v>11</v>
      </c>
    </row>
    <row r="41" spans="1:15">
      <c r="A41" s="2">
        <v>1977</v>
      </c>
      <c r="B41" s="2">
        <v>12</v>
      </c>
      <c r="N41" s="2">
        <v>1977</v>
      </c>
      <c r="O41" s="2">
        <v>12</v>
      </c>
    </row>
    <row r="42" spans="1:15">
      <c r="A42" s="2">
        <v>1978</v>
      </c>
      <c r="B42" s="2">
        <v>1</v>
      </c>
      <c r="N42" s="2">
        <v>1978</v>
      </c>
      <c r="O42" s="2">
        <v>1</v>
      </c>
    </row>
    <row r="43" spans="1:15">
      <c r="A43" s="2">
        <v>1978</v>
      </c>
      <c r="B43" s="2">
        <v>2</v>
      </c>
      <c r="N43" s="2">
        <v>1978</v>
      </c>
      <c r="O43" s="2">
        <v>2</v>
      </c>
    </row>
    <row r="44" spans="1:15">
      <c r="A44" s="2">
        <v>1978</v>
      </c>
      <c r="B44" s="2">
        <v>3</v>
      </c>
      <c r="N44" s="2">
        <v>1978</v>
      </c>
      <c r="O44" s="2">
        <v>3</v>
      </c>
    </row>
    <row r="45" spans="1:15">
      <c r="A45" s="2">
        <v>1978</v>
      </c>
      <c r="B45" s="2">
        <v>4</v>
      </c>
      <c r="N45" s="2">
        <v>1978</v>
      </c>
      <c r="O45" s="2">
        <v>4</v>
      </c>
    </row>
    <row r="46" spans="1:15">
      <c r="A46" s="2">
        <v>1978</v>
      </c>
      <c r="B46" s="2">
        <v>5</v>
      </c>
      <c r="N46" s="2">
        <v>1978</v>
      </c>
      <c r="O46" s="2">
        <v>5</v>
      </c>
    </row>
    <row r="47" spans="1:15">
      <c r="A47" s="2">
        <v>1978</v>
      </c>
      <c r="B47" s="2">
        <v>6</v>
      </c>
      <c r="N47" s="2">
        <v>1978</v>
      </c>
      <c r="O47" s="2">
        <v>6</v>
      </c>
    </row>
    <row r="48" spans="1:15">
      <c r="A48" s="2">
        <v>1978</v>
      </c>
      <c r="B48" s="2">
        <v>7</v>
      </c>
      <c r="N48" s="2">
        <v>1978</v>
      </c>
      <c r="O48" s="2">
        <v>7</v>
      </c>
    </row>
    <row r="49" spans="1:15">
      <c r="A49" s="2">
        <v>1978</v>
      </c>
      <c r="B49" s="2">
        <v>8</v>
      </c>
      <c r="N49" s="2">
        <v>1978</v>
      </c>
      <c r="O49" s="2">
        <v>8</v>
      </c>
    </row>
    <row r="50" spans="1:15">
      <c r="A50" s="2">
        <v>1978</v>
      </c>
      <c r="B50" s="2">
        <v>9</v>
      </c>
      <c r="N50" s="2">
        <v>1978</v>
      </c>
      <c r="O50" s="2">
        <v>9</v>
      </c>
    </row>
    <row r="51" spans="1:15">
      <c r="A51" s="2">
        <v>1978</v>
      </c>
      <c r="B51" s="2">
        <v>10</v>
      </c>
      <c r="N51" s="2">
        <v>1978</v>
      </c>
      <c r="O51" s="2">
        <v>10</v>
      </c>
    </row>
    <row r="52" spans="1:15">
      <c r="A52" s="2">
        <v>1978</v>
      </c>
      <c r="B52" s="2">
        <v>11</v>
      </c>
      <c r="N52" s="2">
        <v>1978</v>
      </c>
      <c r="O52" s="2">
        <v>11</v>
      </c>
    </row>
    <row r="53" spans="1:15">
      <c r="A53" s="2">
        <v>1978</v>
      </c>
      <c r="B53" s="2">
        <v>12</v>
      </c>
      <c r="N53" s="2">
        <v>1978</v>
      </c>
      <c r="O53" s="2">
        <v>12</v>
      </c>
    </row>
    <row r="54" spans="1:15">
      <c r="A54" s="2">
        <v>1979</v>
      </c>
      <c r="B54" s="2">
        <v>1</v>
      </c>
      <c r="N54" s="2">
        <v>1979</v>
      </c>
      <c r="O54" s="2">
        <v>1</v>
      </c>
    </row>
    <row r="55" spans="1:15">
      <c r="A55" s="2">
        <v>1979</v>
      </c>
      <c r="B55" s="2">
        <v>2</v>
      </c>
      <c r="N55" s="2">
        <v>1979</v>
      </c>
      <c r="O55" s="2">
        <v>2</v>
      </c>
    </row>
    <row r="56" spans="1:15">
      <c r="A56" s="2">
        <v>1979</v>
      </c>
      <c r="B56" s="2">
        <v>3</v>
      </c>
      <c r="N56" s="2">
        <v>1979</v>
      </c>
      <c r="O56" s="2">
        <v>3</v>
      </c>
    </row>
    <row r="57" spans="1:15">
      <c r="A57" s="2">
        <v>1979</v>
      </c>
      <c r="B57" s="2">
        <v>4</v>
      </c>
      <c r="N57" s="2">
        <v>1979</v>
      </c>
      <c r="O57" s="2">
        <v>4</v>
      </c>
    </row>
    <row r="58" spans="1:15">
      <c r="A58" s="2">
        <v>1979</v>
      </c>
      <c r="B58" s="2">
        <v>5</v>
      </c>
      <c r="N58" s="2">
        <v>1979</v>
      </c>
      <c r="O58" s="2">
        <v>5</v>
      </c>
    </row>
    <row r="59" spans="1:15">
      <c r="A59" s="2">
        <v>1979</v>
      </c>
      <c r="B59" s="2">
        <v>6</v>
      </c>
      <c r="N59" s="2">
        <v>1979</v>
      </c>
      <c r="O59" s="2">
        <v>6</v>
      </c>
    </row>
    <row r="60" spans="1:15">
      <c r="A60" s="2">
        <v>1979</v>
      </c>
      <c r="B60" s="2">
        <v>7</v>
      </c>
      <c r="N60" s="2">
        <v>1979</v>
      </c>
      <c r="O60" s="2">
        <v>7</v>
      </c>
    </row>
    <row r="61" spans="1:15">
      <c r="A61" s="2">
        <v>1979</v>
      </c>
      <c r="B61" s="2">
        <v>8</v>
      </c>
      <c r="N61" s="2">
        <v>1979</v>
      </c>
      <c r="O61" s="2">
        <v>8</v>
      </c>
    </row>
    <row r="62" spans="1:15">
      <c r="A62" s="2">
        <v>1979</v>
      </c>
      <c r="B62" s="2">
        <v>9</v>
      </c>
      <c r="N62" s="2">
        <v>1979</v>
      </c>
      <c r="O62" s="2">
        <v>9</v>
      </c>
    </row>
    <row r="63" spans="1:15">
      <c r="A63" s="2">
        <v>1979</v>
      </c>
      <c r="B63" s="2">
        <v>10</v>
      </c>
      <c r="N63" s="2">
        <v>1979</v>
      </c>
      <c r="O63" s="2">
        <v>10</v>
      </c>
    </row>
    <row r="64" spans="1:15">
      <c r="A64" s="2">
        <v>1979</v>
      </c>
      <c r="B64" s="2">
        <v>11</v>
      </c>
      <c r="N64" s="2">
        <v>1979</v>
      </c>
      <c r="O64" s="2">
        <v>11</v>
      </c>
    </row>
    <row r="65" spans="1:15">
      <c r="A65" s="2">
        <v>1979</v>
      </c>
      <c r="B65" s="2">
        <v>12</v>
      </c>
      <c r="N65" s="2">
        <v>1979</v>
      </c>
      <c r="O65" s="2">
        <v>12</v>
      </c>
    </row>
    <row r="66" spans="1:15">
      <c r="A66" s="2">
        <v>1980</v>
      </c>
      <c r="B66" s="2">
        <v>1</v>
      </c>
      <c r="N66" s="2">
        <v>1980</v>
      </c>
      <c r="O66" s="2">
        <v>1</v>
      </c>
    </row>
    <row r="67" spans="1:15">
      <c r="A67" s="2">
        <v>1980</v>
      </c>
      <c r="B67" s="2">
        <v>2</v>
      </c>
      <c r="N67" s="2">
        <v>1980</v>
      </c>
      <c r="O67" s="2">
        <v>2</v>
      </c>
    </row>
    <row r="68" spans="1:15">
      <c r="A68" s="2">
        <v>1980</v>
      </c>
      <c r="B68" s="2">
        <v>3</v>
      </c>
      <c r="N68" s="2">
        <v>1980</v>
      </c>
      <c r="O68" s="2">
        <v>3</v>
      </c>
    </row>
    <row r="69" spans="1:15">
      <c r="A69" s="2">
        <v>1980</v>
      </c>
      <c r="B69" s="2">
        <v>4</v>
      </c>
      <c r="N69" s="2">
        <v>1980</v>
      </c>
      <c r="O69" s="2">
        <v>4</v>
      </c>
    </row>
    <row r="70" spans="1:15">
      <c r="A70" s="2">
        <v>1980</v>
      </c>
      <c r="B70" s="2">
        <v>5</v>
      </c>
      <c r="N70" s="2">
        <v>1980</v>
      </c>
      <c r="O70" s="2">
        <v>5</v>
      </c>
    </row>
    <row r="71" spans="1:15">
      <c r="A71" s="2">
        <v>1980</v>
      </c>
      <c r="B71" s="2">
        <v>6</v>
      </c>
      <c r="N71" s="2">
        <v>1980</v>
      </c>
      <c r="O71" s="2">
        <v>6</v>
      </c>
    </row>
    <row r="72" spans="1:15">
      <c r="A72" s="2">
        <v>1980</v>
      </c>
      <c r="B72" s="2">
        <v>7</v>
      </c>
      <c r="N72" s="2">
        <v>1980</v>
      </c>
      <c r="O72" s="2">
        <v>7</v>
      </c>
    </row>
    <row r="73" spans="1:15">
      <c r="A73" s="2">
        <v>1980</v>
      </c>
      <c r="B73" s="2">
        <v>8</v>
      </c>
      <c r="N73" s="2">
        <v>1980</v>
      </c>
      <c r="O73" s="2">
        <v>8</v>
      </c>
    </row>
    <row r="74" spans="1:15">
      <c r="A74" s="2">
        <v>1980</v>
      </c>
      <c r="B74" s="2">
        <v>9</v>
      </c>
      <c r="N74" s="2">
        <v>1980</v>
      </c>
      <c r="O74" s="2">
        <v>9</v>
      </c>
    </row>
    <row r="75" spans="1:15">
      <c r="A75" s="2">
        <v>1980</v>
      </c>
      <c r="B75" s="2">
        <v>10</v>
      </c>
      <c r="N75" s="2">
        <v>1980</v>
      </c>
      <c r="O75" s="2">
        <v>10</v>
      </c>
    </row>
    <row r="76" spans="1:15">
      <c r="A76" s="2">
        <v>1980</v>
      </c>
      <c r="B76" s="2">
        <v>11</v>
      </c>
      <c r="N76" s="2">
        <v>1980</v>
      </c>
      <c r="O76" s="2">
        <v>11</v>
      </c>
    </row>
    <row r="77" spans="1:15">
      <c r="A77" s="2">
        <v>1980</v>
      </c>
      <c r="B77" s="2">
        <v>12</v>
      </c>
      <c r="N77" s="2">
        <v>1980</v>
      </c>
      <c r="O77" s="2">
        <v>12</v>
      </c>
    </row>
    <row r="78" spans="1:15">
      <c r="A78" s="2">
        <v>1981</v>
      </c>
      <c r="B78" s="2">
        <v>1</v>
      </c>
      <c r="N78" s="2">
        <v>1981</v>
      </c>
      <c r="O78" s="2">
        <v>1</v>
      </c>
    </row>
    <row r="79" spans="1:15">
      <c r="A79" s="2">
        <v>1981</v>
      </c>
      <c r="B79" s="2">
        <v>2</v>
      </c>
      <c r="N79" s="2">
        <v>1981</v>
      </c>
      <c r="O79" s="2">
        <v>2</v>
      </c>
    </row>
    <row r="80" spans="1:15">
      <c r="A80" s="2">
        <v>1981</v>
      </c>
      <c r="B80" s="2">
        <v>3</v>
      </c>
      <c r="N80" s="2">
        <v>1981</v>
      </c>
      <c r="O80" s="2">
        <v>3</v>
      </c>
    </row>
    <row r="81" spans="1:15">
      <c r="A81" s="2">
        <v>1981</v>
      </c>
      <c r="B81" s="2">
        <v>4</v>
      </c>
      <c r="N81" s="2">
        <v>1981</v>
      </c>
      <c r="O81" s="2">
        <v>4</v>
      </c>
    </row>
    <row r="82" spans="1:15">
      <c r="A82" s="2">
        <v>1981</v>
      </c>
      <c r="B82" s="2">
        <v>5</v>
      </c>
      <c r="N82" s="2">
        <v>1981</v>
      </c>
      <c r="O82" s="2">
        <v>5</v>
      </c>
    </row>
    <row r="83" spans="1:15">
      <c r="A83" s="2">
        <v>1981</v>
      </c>
      <c r="B83" s="2">
        <v>6</v>
      </c>
      <c r="N83" s="2">
        <v>1981</v>
      </c>
      <c r="O83" s="2">
        <v>6</v>
      </c>
    </row>
    <row r="84" spans="1:15">
      <c r="A84" s="2">
        <v>1981</v>
      </c>
      <c r="B84" s="2">
        <v>7</v>
      </c>
      <c r="N84" s="2">
        <v>1981</v>
      </c>
      <c r="O84" s="2">
        <v>7</v>
      </c>
    </row>
    <row r="85" spans="1:15">
      <c r="A85" s="2">
        <v>1981</v>
      </c>
      <c r="B85" s="2">
        <v>8</v>
      </c>
      <c r="N85" s="2">
        <v>1981</v>
      </c>
      <c r="O85" s="2">
        <v>8</v>
      </c>
    </row>
    <row r="86" spans="1:15">
      <c r="A86" s="2">
        <v>1981</v>
      </c>
      <c r="B86" s="2">
        <v>9</v>
      </c>
      <c r="N86" s="2">
        <v>1981</v>
      </c>
      <c r="O86" s="2">
        <v>9</v>
      </c>
    </row>
    <row r="87" spans="1:15">
      <c r="A87" s="2">
        <v>1981</v>
      </c>
      <c r="B87" s="2">
        <v>10</v>
      </c>
      <c r="N87" s="2">
        <v>1981</v>
      </c>
      <c r="O87" s="2">
        <v>10</v>
      </c>
    </row>
    <row r="88" spans="1:15">
      <c r="A88" s="2">
        <v>1981</v>
      </c>
      <c r="B88" s="2">
        <v>11</v>
      </c>
      <c r="N88" s="2">
        <v>1981</v>
      </c>
      <c r="O88" s="2">
        <v>11</v>
      </c>
    </row>
    <row r="89" spans="1:15">
      <c r="A89" s="2">
        <v>1981</v>
      </c>
      <c r="B89" s="2">
        <v>12</v>
      </c>
      <c r="N89" s="2">
        <v>1981</v>
      </c>
      <c r="O89" s="2">
        <v>12</v>
      </c>
    </row>
    <row r="90" spans="1:15">
      <c r="A90" s="2">
        <v>1982</v>
      </c>
      <c r="B90" s="2">
        <v>1</v>
      </c>
      <c r="N90" s="2">
        <v>1982</v>
      </c>
      <c r="O90" s="2">
        <v>1</v>
      </c>
    </row>
    <row r="91" spans="1:15">
      <c r="A91" s="2">
        <v>1982</v>
      </c>
      <c r="B91" s="2">
        <v>2</v>
      </c>
      <c r="N91" s="2">
        <v>1982</v>
      </c>
      <c r="O91" s="2">
        <v>2</v>
      </c>
    </row>
    <row r="92" spans="1:15">
      <c r="A92" s="2">
        <v>1982</v>
      </c>
      <c r="B92" s="2">
        <v>3</v>
      </c>
      <c r="N92" s="2">
        <v>1982</v>
      </c>
      <c r="O92" s="2">
        <v>3</v>
      </c>
    </row>
    <row r="93" spans="1:15">
      <c r="A93" s="2">
        <v>1982</v>
      </c>
      <c r="B93" s="2">
        <v>4</v>
      </c>
      <c r="N93" s="2">
        <v>1982</v>
      </c>
      <c r="O93" s="2">
        <v>4</v>
      </c>
    </row>
    <row r="94" spans="1:15">
      <c r="A94" s="2">
        <v>1982</v>
      </c>
      <c r="B94" s="2">
        <v>5</v>
      </c>
      <c r="N94" s="2">
        <v>1982</v>
      </c>
      <c r="O94" s="2">
        <v>5</v>
      </c>
    </row>
    <row r="95" spans="1:15">
      <c r="A95" s="2">
        <v>1982</v>
      </c>
      <c r="B95" s="2">
        <v>6</v>
      </c>
      <c r="N95" s="2">
        <v>1982</v>
      </c>
      <c r="O95" s="2">
        <v>6</v>
      </c>
    </row>
    <row r="96" spans="1:15">
      <c r="A96" s="2">
        <v>1982</v>
      </c>
      <c r="B96" s="2">
        <v>7</v>
      </c>
      <c r="N96" s="2">
        <v>1982</v>
      </c>
      <c r="O96" s="2">
        <v>7</v>
      </c>
    </row>
    <row r="97" spans="1:15">
      <c r="A97" s="2">
        <v>1982</v>
      </c>
      <c r="B97" s="2">
        <v>8</v>
      </c>
      <c r="N97" s="2">
        <v>1982</v>
      </c>
      <c r="O97" s="2">
        <v>8</v>
      </c>
    </row>
    <row r="98" spans="1:15">
      <c r="A98" s="2">
        <v>1982</v>
      </c>
      <c r="B98" s="2">
        <v>9</v>
      </c>
      <c r="N98" s="2">
        <v>1982</v>
      </c>
      <c r="O98" s="2">
        <v>9</v>
      </c>
    </row>
    <row r="99" spans="1:15">
      <c r="A99" s="2">
        <v>1982</v>
      </c>
      <c r="B99" s="2">
        <v>10</v>
      </c>
      <c r="N99" s="2">
        <v>1982</v>
      </c>
      <c r="O99" s="2">
        <v>10</v>
      </c>
    </row>
    <row r="100" spans="1:15">
      <c r="A100" s="2">
        <v>1982</v>
      </c>
      <c r="B100" s="2">
        <v>11</v>
      </c>
      <c r="N100" s="2">
        <v>1982</v>
      </c>
      <c r="O100" s="2">
        <v>11</v>
      </c>
    </row>
    <row r="101" spans="1:15">
      <c r="A101" s="2">
        <v>1982</v>
      </c>
      <c r="B101" s="2">
        <v>12</v>
      </c>
      <c r="N101" s="2">
        <v>1982</v>
      </c>
      <c r="O101" s="2">
        <v>12</v>
      </c>
    </row>
    <row r="102" spans="1:15">
      <c r="A102" s="2">
        <v>1983</v>
      </c>
      <c r="B102" s="2">
        <v>1</v>
      </c>
      <c r="N102" s="2">
        <v>1983</v>
      </c>
      <c r="O102" s="2">
        <v>1</v>
      </c>
    </row>
    <row r="103" spans="1:15">
      <c r="A103" s="2">
        <v>1983</v>
      </c>
      <c r="B103" s="2">
        <v>2</v>
      </c>
      <c r="N103" s="2">
        <v>1983</v>
      </c>
      <c r="O103" s="2">
        <v>2</v>
      </c>
    </row>
    <row r="104" spans="1:15">
      <c r="A104" s="2">
        <v>1983</v>
      </c>
      <c r="B104" s="2">
        <v>3</v>
      </c>
      <c r="N104" s="2">
        <v>1983</v>
      </c>
      <c r="O104" s="2">
        <v>3</v>
      </c>
    </row>
    <row r="105" spans="1:15">
      <c r="A105" s="2">
        <v>1983</v>
      </c>
      <c r="B105" s="2">
        <v>4</v>
      </c>
      <c r="N105" s="2">
        <v>1983</v>
      </c>
      <c r="O105" s="2">
        <v>4</v>
      </c>
    </row>
    <row r="106" spans="1:15">
      <c r="A106" s="2">
        <v>1983</v>
      </c>
      <c r="B106" s="2">
        <v>5</v>
      </c>
      <c r="N106" s="2">
        <v>1983</v>
      </c>
      <c r="O106" s="2">
        <v>5</v>
      </c>
    </row>
    <row r="107" spans="1:15">
      <c r="A107" s="2">
        <v>1983</v>
      </c>
      <c r="B107" s="2">
        <v>6</v>
      </c>
      <c r="N107" s="2">
        <v>1983</v>
      </c>
      <c r="O107" s="2">
        <v>6</v>
      </c>
    </row>
    <row r="108" spans="1:15">
      <c r="A108" s="2">
        <v>1983</v>
      </c>
      <c r="B108" s="2">
        <v>7</v>
      </c>
      <c r="N108" s="2">
        <v>1983</v>
      </c>
      <c r="O108" s="2">
        <v>7</v>
      </c>
    </row>
    <row r="109" spans="1:15">
      <c r="A109" s="2">
        <v>1983</v>
      </c>
      <c r="B109" s="2">
        <v>8</v>
      </c>
      <c r="N109" s="2">
        <v>1983</v>
      </c>
      <c r="O109" s="2">
        <v>8</v>
      </c>
    </row>
    <row r="110" spans="1:15">
      <c r="A110" s="2">
        <v>1983</v>
      </c>
      <c r="B110" s="2">
        <v>9</v>
      </c>
      <c r="N110" s="2">
        <v>1983</v>
      </c>
      <c r="O110" s="2">
        <v>9</v>
      </c>
    </row>
    <row r="111" spans="1:15">
      <c r="A111" s="2">
        <v>1983</v>
      </c>
      <c r="B111" s="2">
        <v>10</v>
      </c>
      <c r="N111" s="2">
        <v>1983</v>
      </c>
      <c r="O111" s="2">
        <v>10</v>
      </c>
    </row>
    <row r="112" spans="1:15">
      <c r="A112" s="2">
        <v>1983</v>
      </c>
      <c r="B112" s="2">
        <v>11</v>
      </c>
      <c r="N112" s="2">
        <v>1983</v>
      </c>
      <c r="O112" s="2">
        <v>11</v>
      </c>
    </row>
    <row r="113" spans="1:15">
      <c r="A113" s="2">
        <v>1983</v>
      </c>
      <c r="B113" s="2">
        <v>12</v>
      </c>
      <c r="N113" s="2">
        <v>1983</v>
      </c>
      <c r="O113" s="2">
        <v>12</v>
      </c>
    </row>
    <row r="114" spans="1:15">
      <c r="A114" s="2">
        <v>1984</v>
      </c>
      <c r="B114" s="2">
        <v>1</v>
      </c>
      <c r="N114" s="2">
        <v>1984</v>
      </c>
      <c r="O114" s="2">
        <v>1</v>
      </c>
    </row>
    <row r="115" spans="1:15">
      <c r="A115" s="2">
        <v>1984</v>
      </c>
      <c r="B115" s="2">
        <v>2</v>
      </c>
      <c r="N115" s="2">
        <v>1984</v>
      </c>
      <c r="O115" s="2">
        <v>2</v>
      </c>
    </row>
    <row r="116" spans="1:15">
      <c r="A116" s="2">
        <v>1984</v>
      </c>
      <c r="B116" s="2">
        <v>3</v>
      </c>
      <c r="N116" s="2">
        <v>1984</v>
      </c>
      <c r="O116" s="2">
        <v>3</v>
      </c>
    </row>
    <row r="117" spans="1:15">
      <c r="A117" s="2">
        <v>1984</v>
      </c>
      <c r="B117" s="2">
        <v>4</v>
      </c>
      <c r="N117" s="2">
        <v>1984</v>
      </c>
      <c r="O117" s="2">
        <v>4</v>
      </c>
    </row>
    <row r="118" spans="1:15">
      <c r="A118" s="2">
        <v>1984</v>
      </c>
      <c r="B118" s="2">
        <v>5</v>
      </c>
      <c r="N118" s="2">
        <v>1984</v>
      </c>
      <c r="O118" s="2">
        <v>5</v>
      </c>
    </row>
    <row r="119" spans="1:15">
      <c r="A119" s="2">
        <v>1984</v>
      </c>
      <c r="B119" s="2">
        <v>6</v>
      </c>
      <c r="N119" s="2">
        <v>1984</v>
      </c>
      <c r="O119" s="2">
        <v>6</v>
      </c>
    </row>
    <row r="120" spans="1:15">
      <c r="A120" s="2">
        <v>1984</v>
      </c>
      <c r="B120" s="2">
        <v>7</v>
      </c>
      <c r="N120" s="2">
        <v>1984</v>
      </c>
      <c r="O120" s="2">
        <v>7</v>
      </c>
    </row>
    <row r="121" spans="1:15">
      <c r="A121" s="2">
        <v>1984</v>
      </c>
      <c r="B121" s="2">
        <v>8</v>
      </c>
      <c r="N121" s="2">
        <v>1984</v>
      </c>
      <c r="O121" s="2">
        <v>8</v>
      </c>
    </row>
    <row r="122" spans="1:15">
      <c r="A122" s="2">
        <v>1984</v>
      </c>
      <c r="B122" s="2">
        <v>9</v>
      </c>
      <c r="N122" s="2">
        <v>1984</v>
      </c>
      <c r="O122" s="2">
        <v>9</v>
      </c>
    </row>
    <row r="123" spans="1:15">
      <c r="A123" s="2">
        <v>1984</v>
      </c>
      <c r="B123" s="2">
        <v>10</v>
      </c>
      <c r="N123" s="2">
        <v>1984</v>
      </c>
      <c r="O123" s="2">
        <v>10</v>
      </c>
    </row>
    <row r="124" spans="1:15">
      <c r="A124" s="2">
        <v>1984</v>
      </c>
      <c r="B124" s="2">
        <v>11</v>
      </c>
      <c r="N124" s="2">
        <v>1984</v>
      </c>
      <c r="O124" s="2">
        <v>11</v>
      </c>
    </row>
    <row r="125" spans="1:15">
      <c r="A125" s="2">
        <v>1984</v>
      </c>
      <c r="B125" s="2">
        <v>12</v>
      </c>
      <c r="N125" s="2">
        <v>1984</v>
      </c>
      <c r="O125" s="2">
        <v>12</v>
      </c>
    </row>
    <row r="126" spans="1:15">
      <c r="A126" s="2">
        <v>1985</v>
      </c>
      <c r="B126" s="2">
        <v>1</v>
      </c>
      <c r="N126" s="2">
        <v>1985</v>
      </c>
      <c r="O126" s="2">
        <v>1</v>
      </c>
    </row>
    <row r="127" spans="1:15">
      <c r="A127" s="2">
        <v>1985</v>
      </c>
      <c r="B127" s="2">
        <v>2</v>
      </c>
      <c r="N127" s="2">
        <v>1985</v>
      </c>
      <c r="O127" s="2">
        <v>2</v>
      </c>
    </row>
    <row r="128" spans="1:15">
      <c r="A128" s="2">
        <v>1985</v>
      </c>
      <c r="B128" s="2">
        <v>3</v>
      </c>
      <c r="N128" s="2">
        <v>1985</v>
      </c>
      <c r="O128" s="2">
        <v>3</v>
      </c>
    </row>
    <row r="129" spans="1:15">
      <c r="A129" s="2">
        <v>1985</v>
      </c>
      <c r="B129" s="2">
        <v>4</v>
      </c>
      <c r="N129" s="2">
        <v>1985</v>
      </c>
      <c r="O129" s="2">
        <v>4</v>
      </c>
    </row>
    <row r="130" spans="1:15">
      <c r="A130" s="2">
        <v>1985</v>
      </c>
      <c r="B130" s="2">
        <v>5</v>
      </c>
      <c r="N130" s="2">
        <v>1985</v>
      </c>
      <c r="O130" s="2">
        <v>5</v>
      </c>
    </row>
    <row r="131" spans="1:15">
      <c r="A131" s="2">
        <v>1985</v>
      </c>
      <c r="B131" s="2">
        <v>6</v>
      </c>
      <c r="N131" s="2">
        <v>1985</v>
      </c>
      <c r="O131" s="2">
        <v>6</v>
      </c>
    </row>
    <row r="132" spans="1:15">
      <c r="A132" s="2">
        <v>1985</v>
      </c>
      <c r="B132" s="2">
        <v>7</v>
      </c>
      <c r="N132" s="2">
        <v>1985</v>
      </c>
      <c r="O132" s="2">
        <v>7</v>
      </c>
    </row>
    <row r="133" spans="1:15">
      <c r="A133" s="2">
        <v>1985</v>
      </c>
      <c r="B133" s="2">
        <v>8</v>
      </c>
      <c r="N133" s="2">
        <v>1985</v>
      </c>
      <c r="O133" s="2">
        <v>8</v>
      </c>
    </row>
    <row r="134" spans="1:15">
      <c r="A134" s="2">
        <v>1985</v>
      </c>
      <c r="B134" s="2">
        <v>9</v>
      </c>
      <c r="N134" s="2">
        <v>1985</v>
      </c>
      <c r="O134" s="2">
        <v>9</v>
      </c>
    </row>
    <row r="135" spans="1:15">
      <c r="A135" s="2">
        <v>1985</v>
      </c>
      <c r="B135" s="2">
        <v>10</v>
      </c>
      <c r="N135" s="2">
        <v>1985</v>
      </c>
      <c r="O135" s="2">
        <v>10</v>
      </c>
    </row>
    <row r="136" spans="1:15">
      <c r="A136" s="2">
        <v>1985</v>
      </c>
      <c r="B136" s="2">
        <v>11</v>
      </c>
      <c r="N136" s="2">
        <v>1985</v>
      </c>
      <c r="O136" s="2">
        <v>11</v>
      </c>
    </row>
    <row r="137" spans="1:15">
      <c r="A137" s="2">
        <v>1985</v>
      </c>
      <c r="B137" s="2">
        <v>12</v>
      </c>
      <c r="N137" s="2">
        <v>1985</v>
      </c>
      <c r="O137" s="2">
        <v>12</v>
      </c>
    </row>
    <row r="138" spans="1:15">
      <c r="A138" s="2">
        <v>1986</v>
      </c>
      <c r="B138" s="2">
        <v>1</v>
      </c>
      <c r="N138" s="2">
        <v>1986</v>
      </c>
      <c r="O138" s="2">
        <v>1</v>
      </c>
    </row>
    <row r="139" spans="1:15">
      <c r="A139" s="2">
        <v>1986</v>
      </c>
      <c r="B139" s="2">
        <v>2</v>
      </c>
      <c r="N139" s="2">
        <v>1986</v>
      </c>
      <c r="O139" s="2">
        <v>2</v>
      </c>
    </row>
    <row r="140" spans="1:15">
      <c r="A140" s="2">
        <v>1986</v>
      </c>
      <c r="B140" s="2">
        <v>3</v>
      </c>
      <c r="N140" s="2">
        <v>1986</v>
      </c>
      <c r="O140" s="2">
        <v>3</v>
      </c>
    </row>
    <row r="141" spans="1:15">
      <c r="A141" s="2">
        <v>1986</v>
      </c>
      <c r="B141" s="2">
        <v>4</v>
      </c>
      <c r="N141" s="2">
        <v>1986</v>
      </c>
      <c r="O141" s="2">
        <v>4</v>
      </c>
    </row>
    <row r="142" spans="1:15">
      <c r="A142" s="2">
        <v>1986</v>
      </c>
      <c r="B142" s="2">
        <v>5</v>
      </c>
      <c r="N142" s="2">
        <v>1986</v>
      </c>
      <c r="O142" s="2">
        <v>5</v>
      </c>
    </row>
    <row r="143" spans="1:15">
      <c r="A143" s="2">
        <v>1986</v>
      </c>
      <c r="B143" s="2">
        <v>6</v>
      </c>
      <c r="N143" s="2">
        <v>1986</v>
      </c>
      <c r="O143" s="2">
        <v>6</v>
      </c>
    </row>
    <row r="144" spans="1:15">
      <c r="A144" s="2">
        <v>1986</v>
      </c>
      <c r="B144" s="2">
        <v>7</v>
      </c>
      <c r="N144" s="2">
        <v>1986</v>
      </c>
      <c r="O144" s="2">
        <v>7</v>
      </c>
    </row>
    <row r="145" spans="1:15">
      <c r="A145" s="2">
        <v>1986</v>
      </c>
      <c r="B145" s="2">
        <v>8</v>
      </c>
      <c r="N145" s="2">
        <v>1986</v>
      </c>
      <c r="O145" s="2">
        <v>8</v>
      </c>
    </row>
    <row r="146" spans="1:15">
      <c r="A146" s="2">
        <v>1986</v>
      </c>
      <c r="B146" s="2">
        <v>9</v>
      </c>
      <c r="N146" s="2">
        <v>1986</v>
      </c>
      <c r="O146" s="2">
        <v>9</v>
      </c>
    </row>
    <row r="147" spans="1:15">
      <c r="A147" s="2">
        <v>1986</v>
      </c>
      <c r="B147" s="2">
        <v>10</v>
      </c>
      <c r="N147" s="2">
        <v>1986</v>
      </c>
      <c r="O147" s="2">
        <v>10</v>
      </c>
    </row>
    <row r="148" spans="1:15">
      <c r="A148" s="2">
        <v>1986</v>
      </c>
      <c r="B148" s="2">
        <v>11</v>
      </c>
      <c r="N148" s="2">
        <v>1986</v>
      </c>
      <c r="O148" s="2">
        <v>11</v>
      </c>
    </row>
    <row r="149" spans="1:15">
      <c r="A149" s="2">
        <v>1986</v>
      </c>
      <c r="B149" s="2">
        <v>12</v>
      </c>
      <c r="N149" s="2">
        <v>1986</v>
      </c>
      <c r="O149" s="2">
        <v>12</v>
      </c>
    </row>
    <row r="150" spans="1:15">
      <c r="A150" s="2">
        <v>1987</v>
      </c>
      <c r="B150" s="2">
        <v>1</v>
      </c>
      <c r="N150" s="2">
        <v>1987</v>
      </c>
      <c r="O150" s="2">
        <v>1</v>
      </c>
    </row>
    <row r="151" spans="1:15">
      <c r="A151" s="2">
        <v>1987</v>
      </c>
      <c r="B151" s="2">
        <v>2</v>
      </c>
      <c r="N151" s="2">
        <v>1987</v>
      </c>
      <c r="O151" s="2">
        <v>2</v>
      </c>
    </row>
    <row r="152" spans="1:15">
      <c r="A152" s="2">
        <v>1987</v>
      </c>
      <c r="B152" s="2">
        <v>3</v>
      </c>
      <c r="N152" s="2">
        <v>1987</v>
      </c>
      <c r="O152" s="2">
        <v>3</v>
      </c>
    </row>
    <row r="153" spans="1:15">
      <c r="A153" s="2">
        <v>1987</v>
      </c>
      <c r="B153" s="2">
        <v>4</v>
      </c>
      <c r="N153" s="2">
        <v>1987</v>
      </c>
      <c r="O153" s="2">
        <v>4</v>
      </c>
    </row>
    <row r="154" spans="1:15">
      <c r="A154" s="2">
        <v>1987</v>
      </c>
      <c r="B154" s="2">
        <v>5</v>
      </c>
      <c r="N154" s="2">
        <v>1987</v>
      </c>
      <c r="O154" s="2">
        <v>5</v>
      </c>
    </row>
    <row r="155" spans="1:15">
      <c r="A155" s="2">
        <v>1987</v>
      </c>
      <c r="B155" s="2">
        <v>6</v>
      </c>
      <c r="N155" s="2">
        <v>1987</v>
      </c>
      <c r="O155" s="2">
        <v>6</v>
      </c>
    </row>
    <row r="156" spans="1:15">
      <c r="A156" s="2">
        <v>1987</v>
      </c>
      <c r="B156" s="2">
        <v>7</v>
      </c>
      <c r="N156" s="2">
        <v>1987</v>
      </c>
      <c r="O156" s="2">
        <v>7</v>
      </c>
    </row>
    <row r="157" spans="1:15">
      <c r="A157" s="2">
        <v>1987</v>
      </c>
      <c r="B157" s="2">
        <v>8</v>
      </c>
      <c r="N157" s="2">
        <v>1987</v>
      </c>
      <c r="O157" s="2">
        <v>8</v>
      </c>
    </row>
    <row r="158" spans="1:15">
      <c r="A158" s="2">
        <v>1987</v>
      </c>
      <c r="B158" s="2">
        <v>9</v>
      </c>
      <c r="N158" s="2">
        <v>1987</v>
      </c>
      <c r="O158" s="2">
        <v>9</v>
      </c>
    </row>
    <row r="159" spans="1:15">
      <c r="A159" s="2">
        <v>1987</v>
      </c>
      <c r="B159" s="2">
        <v>10</v>
      </c>
      <c r="N159" s="2">
        <v>1987</v>
      </c>
      <c r="O159" s="2">
        <v>10</v>
      </c>
    </row>
    <row r="160" spans="1:15">
      <c r="A160" s="2">
        <v>1987</v>
      </c>
      <c r="B160" s="2">
        <v>11</v>
      </c>
      <c r="N160" s="2">
        <v>1987</v>
      </c>
      <c r="O160" s="2">
        <v>11</v>
      </c>
    </row>
    <row r="161" spans="1:15">
      <c r="A161" s="2">
        <v>1987</v>
      </c>
      <c r="B161" s="2">
        <v>12</v>
      </c>
      <c r="N161" s="2">
        <v>1987</v>
      </c>
      <c r="O161" s="2">
        <v>12</v>
      </c>
    </row>
    <row r="162" spans="1:15">
      <c r="A162" s="2">
        <v>1988</v>
      </c>
      <c r="B162" s="2">
        <v>1</v>
      </c>
      <c r="N162" s="2">
        <v>1988</v>
      </c>
      <c r="O162" s="2">
        <v>1</v>
      </c>
    </row>
    <row r="163" spans="1:15">
      <c r="A163" s="2">
        <v>1988</v>
      </c>
      <c r="B163" s="2">
        <v>2</v>
      </c>
      <c r="N163" s="2">
        <v>1988</v>
      </c>
      <c r="O163" s="2">
        <v>2</v>
      </c>
    </row>
    <row r="164" spans="1:15">
      <c r="A164" s="2">
        <v>1988</v>
      </c>
      <c r="B164" s="2">
        <v>3</v>
      </c>
      <c r="N164" s="2">
        <v>1988</v>
      </c>
      <c r="O164" s="2">
        <v>3</v>
      </c>
    </row>
    <row r="165" spans="1:15">
      <c r="A165" s="2">
        <v>1988</v>
      </c>
      <c r="B165" s="2">
        <v>4</v>
      </c>
      <c r="N165" s="2">
        <v>1988</v>
      </c>
      <c r="O165" s="2">
        <v>4</v>
      </c>
    </row>
    <row r="166" spans="1:15">
      <c r="A166" s="2">
        <v>1988</v>
      </c>
      <c r="B166" s="2">
        <v>5</v>
      </c>
      <c r="N166" s="2">
        <v>1988</v>
      </c>
      <c r="O166" s="2">
        <v>5</v>
      </c>
    </row>
    <row r="167" spans="1:15">
      <c r="A167" s="2">
        <v>1988</v>
      </c>
      <c r="B167" s="2">
        <v>6</v>
      </c>
      <c r="N167" s="2">
        <v>1988</v>
      </c>
      <c r="O167" s="2">
        <v>6</v>
      </c>
    </row>
    <row r="168" spans="1:15">
      <c r="A168" s="2">
        <v>1988</v>
      </c>
      <c r="B168" s="2">
        <v>7</v>
      </c>
      <c r="N168" s="2">
        <v>1988</v>
      </c>
      <c r="O168" s="2">
        <v>7</v>
      </c>
    </row>
    <row r="169" spans="1:15">
      <c r="A169" s="2">
        <v>1988</v>
      </c>
      <c r="B169" s="2">
        <v>8</v>
      </c>
      <c r="N169" s="2">
        <v>1988</v>
      </c>
      <c r="O169" s="2">
        <v>8</v>
      </c>
    </row>
    <row r="170" spans="1:15">
      <c r="A170" s="2">
        <v>1988</v>
      </c>
      <c r="B170" s="2">
        <v>9</v>
      </c>
      <c r="N170" s="2">
        <v>1988</v>
      </c>
      <c r="O170" s="2">
        <v>9</v>
      </c>
    </row>
    <row r="171" spans="1:15">
      <c r="A171" s="2">
        <v>1988</v>
      </c>
      <c r="B171" s="2">
        <v>10</v>
      </c>
      <c r="N171" s="2">
        <v>1988</v>
      </c>
      <c r="O171" s="2">
        <v>10</v>
      </c>
    </row>
    <row r="172" spans="1:15">
      <c r="A172" s="2">
        <v>1988</v>
      </c>
      <c r="B172" s="2">
        <v>11</v>
      </c>
      <c r="N172" s="2">
        <v>1988</v>
      </c>
      <c r="O172" s="2">
        <v>11</v>
      </c>
    </row>
    <row r="173" spans="1:15">
      <c r="A173" s="2">
        <v>1988</v>
      </c>
      <c r="B173" s="2">
        <v>12</v>
      </c>
      <c r="N173" s="2">
        <v>1988</v>
      </c>
      <c r="O173" s="2">
        <v>12</v>
      </c>
    </row>
    <row r="174" spans="1:15">
      <c r="A174" s="2">
        <v>1989</v>
      </c>
      <c r="B174" s="2">
        <v>1</v>
      </c>
      <c r="N174" s="2">
        <v>1989</v>
      </c>
      <c r="O174" s="2">
        <v>1</v>
      </c>
    </row>
    <row r="175" spans="1:15">
      <c r="A175" s="2">
        <v>1989</v>
      </c>
      <c r="B175" s="2">
        <v>2</v>
      </c>
      <c r="N175" s="2">
        <v>1989</v>
      </c>
      <c r="O175" s="2">
        <v>2</v>
      </c>
    </row>
    <row r="176" spans="1:15">
      <c r="A176" s="2">
        <v>1989</v>
      </c>
      <c r="B176" s="2">
        <v>3</v>
      </c>
      <c r="N176" s="2">
        <v>1989</v>
      </c>
      <c r="O176" s="2">
        <v>3</v>
      </c>
    </row>
    <row r="177" spans="1:15">
      <c r="A177" s="2">
        <v>1989</v>
      </c>
      <c r="B177" s="2">
        <v>4</v>
      </c>
      <c r="N177" s="2">
        <v>1989</v>
      </c>
      <c r="O177" s="2">
        <v>4</v>
      </c>
    </row>
    <row r="178" spans="1:15">
      <c r="A178" s="2">
        <v>1989</v>
      </c>
      <c r="B178" s="2">
        <v>5</v>
      </c>
      <c r="N178" s="2">
        <v>1989</v>
      </c>
      <c r="O178" s="2">
        <v>5</v>
      </c>
    </row>
    <row r="179" spans="1:15">
      <c r="A179" s="2">
        <v>1989</v>
      </c>
      <c r="B179" s="2">
        <v>6</v>
      </c>
      <c r="N179" s="2">
        <v>1989</v>
      </c>
      <c r="O179" s="2">
        <v>6</v>
      </c>
    </row>
    <row r="180" spans="1:15">
      <c r="A180" s="2">
        <v>1989</v>
      </c>
      <c r="B180" s="2">
        <v>7</v>
      </c>
      <c r="N180" s="2">
        <v>1989</v>
      </c>
      <c r="O180" s="2">
        <v>7</v>
      </c>
    </row>
    <row r="181" spans="1:15">
      <c r="A181" s="2">
        <v>1989</v>
      </c>
      <c r="B181" s="2">
        <v>8</v>
      </c>
      <c r="N181" s="2">
        <v>1989</v>
      </c>
      <c r="O181" s="2">
        <v>8</v>
      </c>
    </row>
    <row r="182" spans="1:15">
      <c r="A182" s="2">
        <v>1989</v>
      </c>
      <c r="B182" s="2">
        <v>9</v>
      </c>
      <c r="N182" s="2">
        <v>1989</v>
      </c>
      <c r="O182" s="2">
        <v>9</v>
      </c>
    </row>
    <row r="183" spans="1:15">
      <c r="A183" s="2">
        <v>1989</v>
      </c>
      <c r="B183" s="2">
        <v>10</v>
      </c>
      <c r="N183" s="2">
        <v>1989</v>
      </c>
      <c r="O183" s="2">
        <v>10</v>
      </c>
    </row>
    <row r="184" spans="1:15">
      <c r="A184" s="2">
        <v>1989</v>
      </c>
      <c r="B184" s="2">
        <v>11</v>
      </c>
      <c r="N184" s="2">
        <v>1989</v>
      </c>
      <c r="O184" s="2">
        <v>11</v>
      </c>
    </row>
    <row r="185" spans="1:15">
      <c r="A185" s="2">
        <v>1989</v>
      </c>
      <c r="B185" s="2">
        <v>12</v>
      </c>
      <c r="N185" s="2">
        <v>1989</v>
      </c>
      <c r="O185" s="2">
        <v>12</v>
      </c>
    </row>
    <row r="186" spans="1:15">
      <c r="A186" s="2">
        <v>1990</v>
      </c>
      <c r="B186" s="2">
        <v>1</v>
      </c>
      <c r="C186" s="2">
        <v>15181</v>
      </c>
      <c r="D186" s="2">
        <v>10003</v>
      </c>
      <c r="E186" s="2">
        <v>4103</v>
      </c>
      <c r="J186" s="2">
        <v>1075</v>
      </c>
      <c r="N186" s="2">
        <v>1990</v>
      </c>
      <c r="O186" s="2">
        <v>1</v>
      </c>
    </row>
    <row r="187" spans="1:15">
      <c r="A187" s="2">
        <v>1990</v>
      </c>
      <c r="B187" s="2">
        <v>2</v>
      </c>
      <c r="C187" s="2">
        <v>12020</v>
      </c>
      <c r="D187" s="2">
        <v>6693</v>
      </c>
      <c r="E187" s="2">
        <v>4142</v>
      </c>
      <c r="J187" s="2">
        <v>1185</v>
      </c>
      <c r="N187" s="2">
        <v>1990</v>
      </c>
      <c r="O187" s="2">
        <v>2</v>
      </c>
    </row>
    <row r="188" spans="1:15">
      <c r="A188" s="2">
        <v>1990</v>
      </c>
      <c r="B188" s="2">
        <v>3</v>
      </c>
      <c r="C188" s="2">
        <v>10961</v>
      </c>
      <c r="D188" s="2">
        <v>5905</v>
      </c>
      <c r="E188" s="2">
        <v>3932</v>
      </c>
      <c r="J188" s="2">
        <v>1124</v>
      </c>
      <c r="N188" s="2">
        <v>1990</v>
      </c>
      <c r="O188" s="2">
        <v>3</v>
      </c>
    </row>
    <row r="189" spans="1:15">
      <c r="A189" s="2">
        <v>1990</v>
      </c>
      <c r="B189" s="2">
        <v>4</v>
      </c>
      <c r="C189" s="2">
        <v>11628</v>
      </c>
      <c r="D189" s="2">
        <v>6021</v>
      </c>
      <c r="E189" s="2">
        <v>4336</v>
      </c>
      <c r="J189" s="2">
        <v>1271</v>
      </c>
      <c r="N189" s="2">
        <v>1990</v>
      </c>
      <c r="O189" s="2">
        <v>4</v>
      </c>
    </row>
    <row r="190" spans="1:15">
      <c r="A190" s="2">
        <v>1990</v>
      </c>
      <c r="B190" s="2">
        <v>5</v>
      </c>
      <c r="C190" s="2">
        <v>11886</v>
      </c>
      <c r="D190" s="2">
        <v>6220</v>
      </c>
      <c r="E190" s="2">
        <v>4341</v>
      </c>
      <c r="J190" s="2">
        <v>1325</v>
      </c>
      <c r="N190" s="2">
        <v>1990</v>
      </c>
      <c r="O190" s="2">
        <v>5</v>
      </c>
    </row>
    <row r="191" spans="1:15">
      <c r="A191" s="2">
        <v>1990</v>
      </c>
      <c r="B191" s="2">
        <v>6</v>
      </c>
      <c r="C191" s="2">
        <v>14859</v>
      </c>
      <c r="D191" s="2">
        <v>8289</v>
      </c>
      <c r="E191" s="2">
        <v>5139</v>
      </c>
      <c r="J191" s="2">
        <v>1431</v>
      </c>
      <c r="N191" s="2">
        <v>1990</v>
      </c>
      <c r="O191" s="2">
        <v>6</v>
      </c>
    </row>
    <row r="192" spans="1:15">
      <c r="A192" s="2">
        <v>1990</v>
      </c>
      <c r="B192" s="2">
        <v>7</v>
      </c>
      <c r="C192" s="2">
        <v>14497</v>
      </c>
      <c r="D192" s="2">
        <v>8124</v>
      </c>
      <c r="E192" s="2">
        <v>5067</v>
      </c>
      <c r="J192" s="2">
        <v>1306</v>
      </c>
      <c r="N192" s="2">
        <v>1990</v>
      </c>
      <c r="O192" s="2">
        <v>7</v>
      </c>
    </row>
    <row r="193" spans="1:15">
      <c r="A193" s="2">
        <v>1990</v>
      </c>
      <c r="B193" s="2">
        <v>8</v>
      </c>
      <c r="C193" s="2">
        <v>15874</v>
      </c>
      <c r="D193" s="2">
        <v>8851</v>
      </c>
      <c r="E193" s="2">
        <v>5533</v>
      </c>
      <c r="J193" s="2">
        <v>1490</v>
      </c>
      <c r="N193" s="2">
        <v>1990</v>
      </c>
      <c r="O193" s="2">
        <v>8</v>
      </c>
    </row>
    <row r="194" spans="1:15">
      <c r="A194" s="2">
        <v>1990</v>
      </c>
      <c r="B194" s="2">
        <v>9</v>
      </c>
      <c r="C194" s="2">
        <v>15880</v>
      </c>
      <c r="D194" s="2">
        <v>9006</v>
      </c>
      <c r="E194" s="2">
        <v>5272</v>
      </c>
      <c r="J194" s="2">
        <v>1602</v>
      </c>
      <c r="N194" s="2">
        <v>1990</v>
      </c>
      <c r="O194" s="2">
        <v>9</v>
      </c>
    </row>
    <row r="195" spans="1:15">
      <c r="A195" s="2">
        <v>1990</v>
      </c>
      <c r="B195" s="2">
        <v>10</v>
      </c>
      <c r="C195" s="2">
        <v>14298</v>
      </c>
      <c r="D195" s="2">
        <v>7791</v>
      </c>
      <c r="E195" s="2">
        <v>4917</v>
      </c>
      <c r="J195" s="2">
        <v>1590</v>
      </c>
      <c r="N195" s="2">
        <v>1990</v>
      </c>
      <c r="O195" s="2">
        <v>10</v>
      </c>
    </row>
    <row r="196" spans="1:15">
      <c r="A196" s="2">
        <v>1990</v>
      </c>
      <c r="B196" s="2">
        <v>11</v>
      </c>
      <c r="C196" s="2">
        <v>10390</v>
      </c>
      <c r="D196" s="2">
        <v>6269</v>
      </c>
      <c r="E196" s="2">
        <v>3707</v>
      </c>
      <c r="J196" s="2">
        <v>414</v>
      </c>
      <c r="N196" s="2">
        <v>1990</v>
      </c>
      <c r="O196" s="2">
        <v>11</v>
      </c>
    </row>
    <row r="197" spans="1:15">
      <c r="A197" s="2">
        <v>1990</v>
      </c>
      <c r="B197" s="2">
        <v>12</v>
      </c>
      <c r="C197" s="2">
        <v>13923</v>
      </c>
      <c r="D197" s="2">
        <v>6777</v>
      </c>
      <c r="E197" s="2">
        <v>4907</v>
      </c>
      <c r="J197" s="2">
        <v>2239</v>
      </c>
      <c r="N197" s="2">
        <v>1990</v>
      </c>
      <c r="O197" s="2">
        <v>12</v>
      </c>
    </row>
    <row r="198" spans="1:15">
      <c r="A198" s="2">
        <v>1991</v>
      </c>
      <c r="B198" s="2">
        <v>1</v>
      </c>
      <c r="C198" s="2">
        <v>11907</v>
      </c>
      <c r="D198" s="2">
        <v>6812</v>
      </c>
      <c r="E198" s="2">
        <v>3920</v>
      </c>
      <c r="J198" s="2">
        <v>1175</v>
      </c>
      <c r="N198" s="2">
        <v>1991</v>
      </c>
      <c r="O198" s="2">
        <v>1</v>
      </c>
    </row>
    <row r="199" spans="1:15">
      <c r="A199" s="2">
        <v>1991</v>
      </c>
      <c r="B199" s="2">
        <v>2</v>
      </c>
      <c r="C199" s="2">
        <v>12272</v>
      </c>
      <c r="D199" s="2">
        <v>7061</v>
      </c>
      <c r="E199" s="2">
        <v>3979</v>
      </c>
      <c r="J199" s="2">
        <v>1232</v>
      </c>
      <c r="N199" s="2">
        <v>1991</v>
      </c>
      <c r="O199" s="2">
        <v>2</v>
      </c>
    </row>
    <row r="200" spans="1:15">
      <c r="A200" s="2">
        <v>1991</v>
      </c>
      <c r="B200" s="2">
        <v>3</v>
      </c>
      <c r="C200" s="2">
        <v>11594</v>
      </c>
      <c r="D200" s="2">
        <v>6776</v>
      </c>
      <c r="E200" s="2">
        <v>3635</v>
      </c>
      <c r="J200" s="2">
        <v>1183</v>
      </c>
      <c r="N200" s="2">
        <v>1991</v>
      </c>
      <c r="O200" s="2">
        <v>3</v>
      </c>
    </row>
    <row r="201" spans="1:15">
      <c r="A201" s="2">
        <v>1991</v>
      </c>
      <c r="B201" s="2">
        <v>4</v>
      </c>
      <c r="C201" s="2">
        <v>12423</v>
      </c>
      <c r="D201" s="2">
        <v>6484</v>
      </c>
      <c r="E201" s="2">
        <v>4545</v>
      </c>
      <c r="J201" s="2">
        <v>1394</v>
      </c>
      <c r="N201" s="2">
        <v>1991</v>
      </c>
      <c r="O201" s="2">
        <v>4</v>
      </c>
    </row>
    <row r="202" spans="1:15">
      <c r="A202" s="2">
        <v>1991</v>
      </c>
      <c r="B202" s="2">
        <v>5</v>
      </c>
      <c r="C202" s="2">
        <v>14049</v>
      </c>
      <c r="D202" s="2">
        <v>7465</v>
      </c>
      <c r="E202" s="2">
        <v>4968</v>
      </c>
      <c r="J202" s="2">
        <v>1616</v>
      </c>
      <c r="N202" s="2">
        <v>1991</v>
      </c>
      <c r="O202" s="2">
        <v>5</v>
      </c>
    </row>
    <row r="203" spans="1:15">
      <c r="A203" s="2">
        <v>1991</v>
      </c>
      <c r="B203" s="2">
        <v>6</v>
      </c>
      <c r="C203" s="2">
        <v>13844</v>
      </c>
      <c r="D203" s="2">
        <v>7463</v>
      </c>
      <c r="E203" s="2">
        <v>4982</v>
      </c>
      <c r="J203" s="2">
        <v>1399</v>
      </c>
      <c r="N203" s="2">
        <v>1991</v>
      </c>
      <c r="O203" s="2">
        <v>6</v>
      </c>
    </row>
    <row r="204" spans="1:15">
      <c r="A204" s="2">
        <v>1991</v>
      </c>
      <c r="B204" s="2">
        <v>7</v>
      </c>
      <c r="C204" s="2">
        <v>14281</v>
      </c>
      <c r="D204" s="2">
        <v>7916</v>
      </c>
      <c r="E204" s="2">
        <v>5000</v>
      </c>
      <c r="J204" s="2">
        <v>1365</v>
      </c>
      <c r="N204" s="2">
        <v>1991</v>
      </c>
      <c r="O204" s="2">
        <v>7</v>
      </c>
    </row>
    <row r="205" spans="1:15">
      <c r="A205" s="2">
        <v>1991</v>
      </c>
      <c r="B205" s="2">
        <v>8</v>
      </c>
      <c r="C205" s="2">
        <v>16233</v>
      </c>
      <c r="D205" s="2">
        <v>9046</v>
      </c>
      <c r="E205" s="2">
        <v>5506</v>
      </c>
      <c r="J205" s="2">
        <v>1681</v>
      </c>
      <c r="N205" s="2">
        <v>1991</v>
      </c>
      <c r="O205" s="2">
        <v>8</v>
      </c>
    </row>
    <row r="206" spans="1:15">
      <c r="A206" s="2">
        <v>1991</v>
      </c>
      <c r="B206" s="2">
        <v>9</v>
      </c>
      <c r="C206" s="2">
        <v>15221</v>
      </c>
      <c r="D206" s="2">
        <v>8771</v>
      </c>
      <c r="E206" s="2">
        <v>4825</v>
      </c>
      <c r="J206" s="2">
        <v>1625</v>
      </c>
      <c r="N206" s="2">
        <v>1991</v>
      </c>
      <c r="O206" s="2">
        <v>9</v>
      </c>
    </row>
    <row r="207" spans="1:15">
      <c r="A207" s="2">
        <v>1991</v>
      </c>
      <c r="B207" s="2">
        <v>10</v>
      </c>
      <c r="C207" s="2">
        <v>13224</v>
      </c>
      <c r="D207" s="2">
        <v>7139</v>
      </c>
      <c r="E207" s="2">
        <v>4613</v>
      </c>
      <c r="J207" s="2">
        <v>1472</v>
      </c>
      <c r="N207" s="2">
        <v>1991</v>
      </c>
      <c r="O207" s="2">
        <v>10</v>
      </c>
    </row>
    <row r="208" spans="1:15">
      <c r="A208" s="2">
        <v>1991</v>
      </c>
      <c r="B208" s="2">
        <v>11</v>
      </c>
      <c r="C208" s="2">
        <v>12831</v>
      </c>
      <c r="D208" s="2">
        <v>6653</v>
      </c>
      <c r="E208" s="2">
        <v>4532</v>
      </c>
      <c r="J208" s="2">
        <v>1646</v>
      </c>
      <c r="N208" s="2">
        <v>1991</v>
      </c>
      <c r="O208" s="2">
        <v>11</v>
      </c>
    </row>
    <row r="209" spans="1:15">
      <c r="A209" s="2">
        <v>1991</v>
      </c>
      <c r="B209" s="2">
        <v>12</v>
      </c>
      <c r="C209" s="2">
        <v>12236</v>
      </c>
      <c r="D209" s="2">
        <v>7091</v>
      </c>
      <c r="E209" s="2">
        <v>3827</v>
      </c>
      <c r="J209" s="2">
        <v>1318</v>
      </c>
      <c r="N209" s="2">
        <v>1991</v>
      </c>
      <c r="O209" s="2">
        <v>12</v>
      </c>
    </row>
    <row r="210" spans="1:15">
      <c r="A210" s="2">
        <v>1992</v>
      </c>
      <c r="B210" s="2">
        <v>1</v>
      </c>
      <c r="C210" s="2">
        <v>12236</v>
      </c>
      <c r="D210" s="2">
        <v>7091</v>
      </c>
      <c r="E210" s="2">
        <v>3827</v>
      </c>
      <c r="J210" s="2">
        <v>1318</v>
      </c>
      <c r="N210" s="2">
        <v>1992</v>
      </c>
      <c r="O210" s="2">
        <v>1</v>
      </c>
    </row>
    <row r="211" spans="1:15">
      <c r="A211" s="2">
        <v>1992</v>
      </c>
      <c r="B211" s="2">
        <v>2</v>
      </c>
      <c r="C211" s="2">
        <v>15249</v>
      </c>
      <c r="D211" s="2">
        <v>8747</v>
      </c>
      <c r="E211" s="2">
        <v>5294</v>
      </c>
      <c r="J211" s="2">
        <v>1208</v>
      </c>
      <c r="N211" s="2">
        <v>1992</v>
      </c>
      <c r="O211" s="2">
        <v>2</v>
      </c>
    </row>
    <row r="212" spans="1:15">
      <c r="A212" s="2">
        <v>1992</v>
      </c>
      <c r="B212" s="2">
        <v>3</v>
      </c>
      <c r="C212" s="2">
        <v>12365</v>
      </c>
      <c r="D212" s="2">
        <v>6259</v>
      </c>
      <c r="E212" s="2">
        <v>4865</v>
      </c>
      <c r="J212" s="2">
        <v>1241</v>
      </c>
      <c r="N212" s="2">
        <v>1992</v>
      </c>
      <c r="O212" s="2">
        <v>3</v>
      </c>
    </row>
    <row r="213" spans="1:15">
      <c r="A213" s="2">
        <v>1992</v>
      </c>
      <c r="B213" s="2">
        <v>4</v>
      </c>
      <c r="C213" s="2">
        <v>12678</v>
      </c>
      <c r="D213" s="2">
        <v>6089</v>
      </c>
      <c r="E213" s="2">
        <v>5192</v>
      </c>
      <c r="J213" s="2">
        <v>1397</v>
      </c>
      <c r="N213" s="2">
        <v>1992</v>
      </c>
      <c r="O213" s="2">
        <v>4</v>
      </c>
    </row>
    <row r="214" spans="1:15">
      <c r="A214" s="2">
        <v>1992</v>
      </c>
      <c r="B214" s="2">
        <v>5</v>
      </c>
      <c r="C214" s="2">
        <v>11749</v>
      </c>
      <c r="D214" s="2">
        <v>5460</v>
      </c>
      <c r="E214" s="2">
        <v>4991</v>
      </c>
      <c r="J214" s="2">
        <v>1298</v>
      </c>
      <c r="N214" s="2">
        <v>1992</v>
      </c>
      <c r="O214" s="2">
        <v>5</v>
      </c>
    </row>
    <row r="215" spans="1:15">
      <c r="A215" s="2">
        <v>1992</v>
      </c>
      <c r="B215" s="2">
        <v>6</v>
      </c>
      <c r="C215" s="2">
        <v>14788</v>
      </c>
      <c r="D215" s="2">
        <v>7396</v>
      </c>
      <c r="E215" s="2">
        <v>5976</v>
      </c>
      <c r="J215" s="2">
        <v>1416</v>
      </c>
      <c r="N215" s="2">
        <v>1992</v>
      </c>
      <c r="O215" s="2">
        <v>6</v>
      </c>
    </row>
    <row r="216" spans="1:15">
      <c r="A216" s="2">
        <v>1992</v>
      </c>
      <c r="B216" s="2">
        <v>7</v>
      </c>
      <c r="C216" s="2">
        <v>16707</v>
      </c>
      <c r="D216" s="2">
        <v>8827</v>
      </c>
      <c r="E216" s="2">
        <v>6438</v>
      </c>
      <c r="J216" s="2">
        <v>1442</v>
      </c>
      <c r="N216" s="2">
        <v>1992</v>
      </c>
      <c r="O216" s="2">
        <v>7</v>
      </c>
    </row>
    <row r="217" spans="1:15">
      <c r="A217" s="2">
        <v>1992</v>
      </c>
      <c r="B217" s="2">
        <v>8</v>
      </c>
      <c r="C217" s="2">
        <v>15462</v>
      </c>
      <c r="D217" s="2">
        <v>7993</v>
      </c>
      <c r="E217" s="2">
        <v>6154</v>
      </c>
      <c r="J217" s="2">
        <v>1315</v>
      </c>
      <c r="N217" s="2">
        <v>1992</v>
      </c>
      <c r="O217" s="2">
        <v>8</v>
      </c>
    </row>
    <row r="218" spans="1:15">
      <c r="A218" s="2">
        <v>1992</v>
      </c>
      <c r="B218" s="2">
        <v>9</v>
      </c>
      <c r="C218" s="2">
        <v>15547</v>
      </c>
      <c r="D218" s="2">
        <v>7847</v>
      </c>
      <c r="E218" s="2">
        <v>6166</v>
      </c>
      <c r="J218" s="2">
        <v>1534</v>
      </c>
      <c r="N218" s="2">
        <v>1992</v>
      </c>
      <c r="O218" s="2">
        <v>9</v>
      </c>
    </row>
    <row r="219" spans="1:15">
      <c r="A219" s="2">
        <v>1992</v>
      </c>
      <c r="B219" s="2">
        <v>10</v>
      </c>
      <c r="C219" s="2">
        <v>14831</v>
      </c>
      <c r="D219" s="2">
        <v>7288</v>
      </c>
      <c r="E219" s="2">
        <v>6091</v>
      </c>
      <c r="J219" s="2">
        <v>1452</v>
      </c>
      <c r="N219" s="2">
        <v>1992</v>
      </c>
      <c r="O219" s="2">
        <v>10</v>
      </c>
    </row>
    <row r="220" spans="1:15">
      <c r="A220" s="2">
        <v>1992</v>
      </c>
      <c r="B220" s="2">
        <v>11</v>
      </c>
      <c r="C220" s="2">
        <v>12415</v>
      </c>
      <c r="D220" s="2">
        <v>5784</v>
      </c>
      <c r="E220" s="2">
        <v>5342</v>
      </c>
      <c r="J220" s="2">
        <v>1289</v>
      </c>
      <c r="N220" s="2">
        <v>1992</v>
      </c>
      <c r="O220" s="2">
        <v>11</v>
      </c>
    </row>
    <row r="221" spans="1:15">
      <c r="A221" s="2">
        <v>1992</v>
      </c>
      <c r="B221" s="2">
        <v>12</v>
      </c>
      <c r="C221" s="2">
        <v>13792</v>
      </c>
      <c r="D221" s="2">
        <v>7046</v>
      </c>
      <c r="E221" s="2">
        <v>5388</v>
      </c>
      <c r="J221" s="2">
        <v>1358</v>
      </c>
      <c r="N221" s="2">
        <v>1992</v>
      </c>
      <c r="O221" s="2">
        <v>12</v>
      </c>
    </row>
    <row r="222" spans="1:15">
      <c r="A222" s="2">
        <v>1993</v>
      </c>
      <c r="B222" s="2">
        <v>1</v>
      </c>
      <c r="N222" s="2">
        <v>1993</v>
      </c>
      <c r="O222" s="2">
        <v>1</v>
      </c>
    </row>
    <row r="223" spans="1:15">
      <c r="A223" s="2">
        <v>1993</v>
      </c>
      <c r="B223" s="2">
        <v>2</v>
      </c>
      <c r="N223" s="2">
        <v>1993</v>
      </c>
      <c r="O223" s="2">
        <v>2</v>
      </c>
    </row>
    <row r="224" spans="1:15">
      <c r="A224" s="2">
        <v>1993</v>
      </c>
      <c r="B224" s="2">
        <v>3</v>
      </c>
      <c r="N224" s="2">
        <v>1993</v>
      </c>
      <c r="O224" s="2">
        <v>3</v>
      </c>
    </row>
    <row r="225" spans="1:21">
      <c r="A225" s="2">
        <v>1993</v>
      </c>
      <c r="B225" s="2">
        <v>4</v>
      </c>
      <c r="C225" s="16">
        <f t="shared" ref="C225:C258" si="0">SUM(D225:F225,I225:J225)</f>
        <v>10830</v>
      </c>
      <c r="D225" s="18">
        <v>6167</v>
      </c>
      <c r="E225" s="18">
        <v>4132</v>
      </c>
      <c r="F225" s="18">
        <v>0</v>
      </c>
      <c r="G225" s="18">
        <v>0</v>
      </c>
      <c r="H225" s="19">
        <v>0</v>
      </c>
      <c r="I225" s="18">
        <v>0</v>
      </c>
      <c r="J225" s="18">
        <v>531</v>
      </c>
      <c r="N225" s="2">
        <v>1993</v>
      </c>
      <c r="O225" s="2">
        <v>4</v>
      </c>
      <c r="P225" s="19">
        <f t="shared" ref="P225:P258" si="1">SUM(Q225:U225)</f>
        <v>9995</v>
      </c>
      <c r="Q225" s="18">
        <v>8875</v>
      </c>
      <c r="R225" s="18">
        <v>1021</v>
      </c>
      <c r="S225" s="18">
        <v>0</v>
      </c>
      <c r="T225" s="18">
        <v>0</v>
      </c>
      <c r="U225" s="18">
        <v>99</v>
      </c>
    </row>
    <row r="226" spans="1:21">
      <c r="A226" s="2">
        <v>1993</v>
      </c>
      <c r="B226" s="2">
        <v>5</v>
      </c>
      <c r="C226" s="16">
        <f t="shared" si="0"/>
        <v>13401</v>
      </c>
      <c r="D226" s="18">
        <v>5908</v>
      </c>
      <c r="E226" s="18">
        <v>6284</v>
      </c>
      <c r="F226" s="18">
        <v>0</v>
      </c>
      <c r="G226" s="18">
        <v>0</v>
      </c>
      <c r="H226" s="19">
        <v>0</v>
      </c>
      <c r="I226" s="18">
        <v>0</v>
      </c>
      <c r="J226" s="18">
        <v>1209</v>
      </c>
      <c r="N226" s="2">
        <v>1993</v>
      </c>
      <c r="O226" s="2">
        <v>5</v>
      </c>
      <c r="P226" s="19">
        <f t="shared" si="1"/>
        <v>11656</v>
      </c>
      <c r="Q226" s="18">
        <v>10112</v>
      </c>
      <c r="R226" s="18">
        <v>1385</v>
      </c>
      <c r="S226" s="18">
        <v>0</v>
      </c>
      <c r="T226" s="18">
        <v>0</v>
      </c>
      <c r="U226" s="18">
        <v>159</v>
      </c>
    </row>
    <row r="227" spans="1:21">
      <c r="A227" s="2">
        <v>1993</v>
      </c>
      <c r="B227" s="2">
        <v>6</v>
      </c>
      <c r="C227" s="16">
        <f t="shared" si="0"/>
        <v>15213</v>
      </c>
      <c r="D227" s="18">
        <v>7396</v>
      </c>
      <c r="E227" s="18">
        <v>6461</v>
      </c>
      <c r="F227" s="18">
        <v>0</v>
      </c>
      <c r="G227" s="18">
        <v>0</v>
      </c>
      <c r="H227" s="19">
        <v>0</v>
      </c>
      <c r="I227" s="18">
        <v>0</v>
      </c>
      <c r="J227" s="18">
        <v>1356</v>
      </c>
      <c r="N227" s="2">
        <v>1993</v>
      </c>
      <c r="O227" s="2">
        <v>6</v>
      </c>
      <c r="P227" s="19">
        <f t="shared" si="1"/>
        <v>11397</v>
      </c>
      <c r="Q227" s="18">
        <v>9894</v>
      </c>
      <c r="R227" s="18">
        <v>1343</v>
      </c>
      <c r="S227" s="18">
        <v>0</v>
      </c>
      <c r="T227" s="18">
        <v>0</v>
      </c>
      <c r="U227" s="18">
        <v>160</v>
      </c>
    </row>
    <row r="228" spans="1:21">
      <c r="A228" s="2">
        <v>1993</v>
      </c>
      <c r="B228" s="2">
        <v>7</v>
      </c>
      <c r="C228" s="16">
        <f t="shared" si="0"/>
        <v>16031</v>
      </c>
      <c r="D228" s="18">
        <v>8328</v>
      </c>
      <c r="E228" s="18">
        <v>6463</v>
      </c>
      <c r="F228" s="18">
        <v>0</v>
      </c>
      <c r="G228" s="18">
        <v>0</v>
      </c>
      <c r="H228" s="19">
        <v>0</v>
      </c>
      <c r="I228" s="18">
        <v>0</v>
      </c>
      <c r="J228" s="18">
        <v>1240</v>
      </c>
      <c r="N228" s="2">
        <v>1993</v>
      </c>
      <c r="O228" s="2">
        <v>7</v>
      </c>
      <c r="P228" s="19">
        <f t="shared" si="1"/>
        <v>11320</v>
      </c>
      <c r="Q228" s="18">
        <v>9812</v>
      </c>
      <c r="R228" s="18">
        <v>1345</v>
      </c>
      <c r="S228" s="18">
        <v>0</v>
      </c>
      <c r="T228" s="18">
        <v>0</v>
      </c>
      <c r="U228" s="18">
        <v>163</v>
      </c>
    </row>
    <row r="229" spans="1:21">
      <c r="A229" s="2">
        <v>1993</v>
      </c>
      <c r="B229" s="2">
        <v>8</v>
      </c>
      <c r="C229" s="16">
        <f t="shared" si="0"/>
        <v>18668</v>
      </c>
      <c r="D229" s="18">
        <v>10037</v>
      </c>
      <c r="E229" s="18">
        <v>7240</v>
      </c>
      <c r="F229" s="18">
        <v>0</v>
      </c>
      <c r="G229" s="18">
        <v>0</v>
      </c>
      <c r="H229" s="19">
        <v>0</v>
      </c>
      <c r="I229" s="18">
        <v>0</v>
      </c>
      <c r="J229" s="18">
        <v>1391</v>
      </c>
      <c r="N229" s="2">
        <v>1993</v>
      </c>
      <c r="O229" s="2">
        <v>8</v>
      </c>
      <c r="P229" s="19">
        <f t="shared" si="1"/>
        <v>11300</v>
      </c>
      <c r="Q229" s="18">
        <v>9755</v>
      </c>
      <c r="R229" s="18">
        <v>1377</v>
      </c>
      <c r="S229" s="18">
        <v>0</v>
      </c>
      <c r="T229" s="18">
        <v>0</v>
      </c>
      <c r="U229" s="18">
        <v>168</v>
      </c>
    </row>
    <row r="230" spans="1:21">
      <c r="A230" s="2">
        <v>1993</v>
      </c>
      <c r="B230" s="2">
        <v>9</v>
      </c>
      <c r="C230" s="16">
        <f t="shared" si="0"/>
        <v>18226</v>
      </c>
      <c r="D230" s="18">
        <v>9019</v>
      </c>
      <c r="E230" s="18">
        <v>7847</v>
      </c>
      <c r="F230" s="18">
        <v>0</v>
      </c>
      <c r="G230" s="18">
        <v>0</v>
      </c>
      <c r="H230" s="19">
        <v>0</v>
      </c>
      <c r="I230" s="18">
        <v>0</v>
      </c>
      <c r="J230" s="18">
        <v>1360</v>
      </c>
      <c r="N230" s="2">
        <v>1993</v>
      </c>
      <c r="O230" s="2">
        <v>9</v>
      </c>
      <c r="P230" s="19">
        <f t="shared" si="1"/>
        <v>11349</v>
      </c>
      <c r="Q230" s="18">
        <v>9794</v>
      </c>
      <c r="R230" s="18">
        <v>1387</v>
      </c>
      <c r="S230" s="18">
        <v>0</v>
      </c>
      <c r="T230" s="18">
        <v>0</v>
      </c>
      <c r="U230" s="18">
        <v>168</v>
      </c>
    </row>
    <row r="231" spans="1:21">
      <c r="A231" s="2">
        <v>1993</v>
      </c>
      <c r="B231" s="2">
        <v>10</v>
      </c>
      <c r="C231" s="16">
        <f t="shared" si="0"/>
        <v>15284</v>
      </c>
      <c r="D231" s="18">
        <v>7730</v>
      </c>
      <c r="E231" s="18">
        <v>6191</v>
      </c>
      <c r="F231" s="18">
        <v>0</v>
      </c>
      <c r="G231" s="18">
        <v>0</v>
      </c>
      <c r="H231" s="19">
        <v>0</v>
      </c>
      <c r="I231" s="18">
        <v>0</v>
      </c>
      <c r="J231" s="18">
        <v>1363</v>
      </c>
      <c r="N231" s="2">
        <v>1993</v>
      </c>
      <c r="O231" s="2">
        <v>10</v>
      </c>
      <c r="P231" s="19">
        <f t="shared" si="1"/>
        <v>11557</v>
      </c>
      <c r="Q231" s="18">
        <v>9988</v>
      </c>
      <c r="R231" s="18">
        <v>1403</v>
      </c>
      <c r="S231" s="18">
        <v>0</v>
      </c>
      <c r="T231" s="18">
        <v>0</v>
      </c>
      <c r="U231" s="18">
        <v>166</v>
      </c>
    </row>
    <row r="232" spans="1:21">
      <c r="A232" s="2">
        <v>1993</v>
      </c>
      <c r="B232" s="2">
        <v>11</v>
      </c>
      <c r="C232" s="16">
        <f t="shared" si="0"/>
        <v>14956</v>
      </c>
      <c r="D232" s="18">
        <v>7088</v>
      </c>
      <c r="E232" s="18">
        <v>6524</v>
      </c>
      <c r="F232" s="18">
        <v>0</v>
      </c>
      <c r="G232" s="18">
        <v>0</v>
      </c>
      <c r="H232" s="19">
        <v>0</v>
      </c>
      <c r="I232" s="18">
        <v>0</v>
      </c>
      <c r="J232" s="18">
        <v>1344</v>
      </c>
      <c r="N232" s="2">
        <v>1993</v>
      </c>
      <c r="O232" s="2">
        <v>11</v>
      </c>
      <c r="P232" s="19">
        <f t="shared" si="1"/>
        <v>12122</v>
      </c>
      <c r="Q232" s="18">
        <v>10543</v>
      </c>
      <c r="R232" s="18">
        <v>1413</v>
      </c>
      <c r="S232" s="18">
        <v>0</v>
      </c>
      <c r="T232" s="18">
        <v>0</v>
      </c>
      <c r="U232" s="18">
        <v>166</v>
      </c>
    </row>
    <row r="233" spans="1:21">
      <c r="A233" s="2">
        <v>1993</v>
      </c>
      <c r="B233" s="2">
        <v>12</v>
      </c>
      <c r="C233" s="16">
        <f t="shared" si="0"/>
        <v>15092</v>
      </c>
      <c r="D233" s="18">
        <v>7435</v>
      </c>
      <c r="E233" s="18">
        <v>6324</v>
      </c>
      <c r="F233" s="18">
        <v>0</v>
      </c>
      <c r="G233" s="18">
        <v>0</v>
      </c>
      <c r="H233" s="19">
        <v>0</v>
      </c>
      <c r="I233" s="18">
        <v>0</v>
      </c>
      <c r="J233" s="18">
        <v>1333</v>
      </c>
      <c r="N233" s="2">
        <v>1993</v>
      </c>
      <c r="O233" s="2">
        <v>12</v>
      </c>
      <c r="P233" s="19">
        <f t="shared" si="1"/>
        <v>12502</v>
      </c>
      <c r="Q233" s="18">
        <v>10916</v>
      </c>
      <c r="R233" s="18">
        <v>1419</v>
      </c>
      <c r="S233" s="18">
        <v>0</v>
      </c>
      <c r="T233" s="18">
        <v>0</v>
      </c>
      <c r="U233" s="18">
        <v>167</v>
      </c>
    </row>
    <row r="234" spans="1:21">
      <c r="A234" s="2">
        <v>1994</v>
      </c>
      <c r="B234" s="2">
        <v>1</v>
      </c>
      <c r="C234" s="16">
        <f t="shared" si="0"/>
        <v>16117</v>
      </c>
      <c r="D234" s="18">
        <v>9555</v>
      </c>
      <c r="E234" s="18">
        <v>5427</v>
      </c>
      <c r="F234" s="18">
        <v>0</v>
      </c>
      <c r="G234" s="18">
        <v>0</v>
      </c>
      <c r="H234" s="19">
        <v>0</v>
      </c>
      <c r="I234" s="18">
        <v>0</v>
      </c>
      <c r="J234" s="18">
        <v>1135</v>
      </c>
      <c r="N234" s="2">
        <v>1994</v>
      </c>
      <c r="O234" s="2">
        <v>1</v>
      </c>
      <c r="P234" s="19">
        <f t="shared" si="1"/>
        <v>12705</v>
      </c>
      <c r="Q234" s="18">
        <v>11125</v>
      </c>
      <c r="R234" s="18">
        <v>1415</v>
      </c>
      <c r="S234" s="18">
        <v>0</v>
      </c>
      <c r="T234" s="18">
        <v>0</v>
      </c>
      <c r="U234" s="18">
        <v>165</v>
      </c>
    </row>
    <row r="235" spans="1:21">
      <c r="A235" s="2">
        <v>1994</v>
      </c>
      <c r="B235" s="2">
        <v>2</v>
      </c>
      <c r="C235" s="16">
        <f t="shared" si="0"/>
        <v>15313</v>
      </c>
      <c r="D235" s="18">
        <v>8569</v>
      </c>
      <c r="E235" s="18">
        <v>5595</v>
      </c>
      <c r="F235" s="18">
        <v>0</v>
      </c>
      <c r="G235" s="18">
        <v>0</v>
      </c>
      <c r="H235" s="19">
        <v>0</v>
      </c>
      <c r="I235" s="18">
        <v>0</v>
      </c>
      <c r="J235" s="18">
        <v>1149</v>
      </c>
      <c r="N235" s="2">
        <v>1994</v>
      </c>
      <c r="O235" s="2">
        <v>2</v>
      </c>
      <c r="P235" s="19">
        <f t="shared" si="1"/>
        <v>12838</v>
      </c>
      <c r="Q235" s="18">
        <v>11255</v>
      </c>
      <c r="R235" s="18">
        <v>1418</v>
      </c>
      <c r="S235" s="18">
        <v>0</v>
      </c>
      <c r="T235" s="18">
        <v>0</v>
      </c>
      <c r="U235" s="18">
        <v>165</v>
      </c>
    </row>
    <row r="236" spans="1:21">
      <c r="A236" s="2">
        <v>1994</v>
      </c>
      <c r="B236" s="2">
        <v>3</v>
      </c>
      <c r="C236" s="16">
        <f t="shared" si="0"/>
        <v>14091</v>
      </c>
      <c r="D236" s="18">
        <v>6950</v>
      </c>
      <c r="E236" s="18">
        <v>5905</v>
      </c>
      <c r="F236" s="18">
        <v>0</v>
      </c>
      <c r="G236" s="18">
        <v>0</v>
      </c>
      <c r="H236" s="19">
        <v>0</v>
      </c>
      <c r="I236" s="18">
        <v>0</v>
      </c>
      <c r="J236" s="18">
        <v>1236</v>
      </c>
      <c r="N236" s="2">
        <v>1994</v>
      </c>
      <c r="O236" s="2">
        <v>3</v>
      </c>
      <c r="P236" s="19">
        <f t="shared" si="1"/>
        <v>12847</v>
      </c>
      <c r="Q236" s="18">
        <v>11265</v>
      </c>
      <c r="R236" s="18">
        <v>1417</v>
      </c>
      <c r="S236" s="18">
        <v>0</v>
      </c>
      <c r="T236" s="18">
        <v>0</v>
      </c>
      <c r="U236" s="18">
        <v>165</v>
      </c>
    </row>
    <row r="237" spans="1:21">
      <c r="A237" s="2">
        <v>1994</v>
      </c>
      <c r="B237" s="2">
        <v>4</v>
      </c>
      <c r="C237" s="16">
        <f t="shared" si="0"/>
        <v>15818</v>
      </c>
      <c r="D237" s="18">
        <v>7836</v>
      </c>
      <c r="E237" s="18">
        <v>6709</v>
      </c>
      <c r="F237" s="18">
        <v>0</v>
      </c>
      <c r="G237" s="18">
        <v>0</v>
      </c>
      <c r="H237" s="19">
        <v>0</v>
      </c>
      <c r="I237" s="18">
        <v>0</v>
      </c>
      <c r="J237" s="18">
        <v>1273</v>
      </c>
      <c r="N237" s="2">
        <v>1994</v>
      </c>
      <c r="O237" s="2">
        <v>4</v>
      </c>
      <c r="P237" s="19">
        <f t="shared" si="1"/>
        <v>12292</v>
      </c>
      <c r="Q237" s="18">
        <v>10706</v>
      </c>
      <c r="R237" s="18">
        <v>1420</v>
      </c>
      <c r="S237" s="18">
        <v>0</v>
      </c>
      <c r="T237" s="18">
        <v>0</v>
      </c>
      <c r="U237" s="18">
        <v>166</v>
      </c>
    </row>
    <row r="238" spans="1:21">
      <c r="A238" s="2">
        <v>1994</v>
      </c>
      <c r="B238" s="2">
        <v>5</v>
      </c>
      <c r="C238" s="16">
        <f t="shared" si="0"/>
        <v>15244</v>
      </c>
      <c r="D238" s="18">
        <v>7492</v>
      </c>
      <c r="E238" s="18">
        <v>6459</v>
      </c>
      <c r="F238" s="18">
        <v>0</v>
      </c>
      <c r="G238" s="18">
        <v>0</v>
      </c>
      <c r="H238" s="19">
        <v>0</v>
      </c>
      <c r="I238" s="18">
        <v>14</v>
      </c>
      <c r="J238" s="18">
        <v>1279</v>
      </c>
      <c r="N238" s="2">
        <v>1994</v>
      </c>
      <c r="O238" s="2">
        <v>5</v>
      </c>
      <c r="P238" s="19">
        <f t="shared" si="1"/>
        <v>11537</v>
      </c>
      <c r="Q238" s="18">
        <v>9968</v>
      </c>
      <c r="R238" s="18">
        <v>1374</v>
      </c>
      <c r="S238" s="18">
        <v>0</v>
      </c>
      <c r="T238" s="18">
        <v>32</v>
      </c>
      <c r="U238" s="18">
        <v>163</v>
      </c>
    </row>
    <row r="239" spans="1:21">
      <c r="A239" s="2">
        <v>1994</v>
      </c>
      <c r="B239" s="2">
        <v>6</v>
      </c>
      <c r="C239" s="16">
        <f t="shared" si="0"/>
        <v>17073</v>
      </c>
      <c r="D239" s="18">
        <v>8449</v>
      </c>
      <c r="E239" s="18">
        <v>7158</v>
      </c>
      <c r="F239" s="18">
        <v>0</v>
      </c>
      <c r="G239" s="18">
        <v>0</v>
      </c>
      <c r="H239" s="19">
        <v>0</v>
      </c>
      <c r="I239" s="18">
        <v>14</v>
      </c>
      <c r="J239" s="18">
        <v>1452</v>
      </c>
      <c r="N239" s="2">
        <v>1994</v>
      </c>
      <c r="O239" s="2">
        <v>6</v>
      </c>
      <c r="P239" s="19">
        <f t="shared" si="1"/>
        <v>11353</v>
      </c>
      <c r="Q239" s="18">
        <v>9784</v>
      </c>
      <c r="R239" s="18">
        <v>1370</v>
      </c>
      <c r="S239" s="18">
        <v>0</v>
      </c>
      <c r="T239" s="18">
        <v>32</v>
      </c>
      <c r="U239" s="18">
        <v>167</v>
      </c>
    </row>
    <row r="240" spans="1:21">
      <c r="A240" s="2">
        <v>1994</v>
      </c>
      <c r="B240" s="2">
        <v>7</v>
      </c>
      <c r="C240" s="16">
        <f t="shared" si="0"/>
        <v>17875</v>
      </c>
      <c r="D240" s="18">
        <v>9391</v>
      </c>
      <c r="E240" s="18">
        <v>7177</v>
      </c>
      <c r="F240" s="18">
        <v>0</v>
      </c>
      <c r="G240" s="18">
        <v>0</v>
      </c>
      <c r="H240" s="19">
        <v>0</v>
      </c>
      <c r="I240" s="18">
        <v>14</v>
      </c>
      <c r="J240" s="18">
        <v>1293</v>
      </c>
      <c r="N240" s="2">
        <v>1994</v>
      </c>
      <c r="O240" s="2">
        <v>7</v>
      </c>
      <c r="P240" s="19">
        <f t="shared" si="1"/>
        <v>11439</v>
      </c>
      <c r="Q240" s="18">
        <v>9867</v>
      </c>
      <c r="R240" s="18">
        <v>1374</v>
      </c>
      <c r="S240" s="18">
        <v>0</v>
      </c>
      <c r="T240" s="18">
        <v>32</v>
      </c>
      <c r="U240" s="18">
        <v>166</v>
      </c>
    </row>
    <row r="241" spans="1:21">
      <c r="A241" s="2">
        <v>1994</v>
      </c>
      <c r="B241" s="2">
        <v>8</v>
      </c>
      <c r="C241" s="16">
        <f t="shared" si="0"/>
        <v>16417</v>
      </c>
      <c r="D241" s="18">
        <v>8476</v>
      </c>
      <c r="E241" s="18">
        <v>6718</v>
      </c>
      <c r="F241" s="18">
        <v>0</v>
      </c>
      <c r="G241" s="18">
        <v>0</v>
      </c>
      <c r="H241" s="19">
        <v>0</v>
      </c>
      <c r="I241" s="18">
        <v>14</v>
      </c>
      <c r="J241" s="18">
        <v>1209</v>
      </c>
      <c r="N241" s="2">
        <v>1994</v>
      </c>
      <c r="O241" s="2">
        <v>8</v>
      </c>
      <c r="P241" s="19">
        <f t="shared" si="1"/>
        <v>11278</v>
      </c>
      <c r="Q241" s="18">
        <v>9723</v>
      </c>
      <c r="R241" s="18">
        <v>1357</v>
      </c>
      <c r="S241" s="18">
        <v>0</v>
      </c>
      <c r="T241" s="18">
        <v>32</v>
      </c>
      <c r="U241" s="18">
        <v>166</v>
      </c>
    </row>
    <row r="242" spans="1:21">
      <c r="A242" s="2">
        <v>1994</v>
      </c>
      <c r="B242" s="2">
        <v>9</v>
      </c>
      <c r="C242" s="16">
        <f t="shared" si="0"/>
        <v>18309</v>
      </c>
      <c r="D242" s="18">
        <v>9377</v>
      </c>
      <c r="E242" s="18">
        <v>7514</v>
      </c>
      <c r="F242" s="18">
        <v>0</v>
      </c>
      <c r="G242" s="18">
        <v>0</v>
      </c>
      <c r="H242" s="19">
        <v>0</v>
      </c>
      <c r="I242" s="18">
        <v>14</v>
      </c>
      <c r="J242" s="18">
        <v>1404</v>
      </c>
      <c r="N242" s="2">
        <v>1994</v>
      </c>
      <c r="O242" s="2">
        <v>9</v>
      </c>
      <c r="P242" s="19">
        <f t="shared" si="1"/>
        <v>11321</v>
      </c>
      <c r="Q242" s="18">
        <v>9763</v>
      </c>
      <c r="R242" s="18">
        <v>1359</v>
      </c>
      <c r="S242" s="18">
        <v>0</v>
      </c>
      <c r="T242" s="18">
        <v>32</v>
      </c>
      <c r="U242" s="18">
        <v>167</v>
      </c>
    </row>
    <row r="243" spans="1:21">
      <c r="A243" s="2">
        <v>1994</v>
      </c>
      <c r="B243" s="2">
        <v>10</v>
      </c>
      <c r="C243" s="16">
        <f t="shared" si="0"/>
        <v>15827</v>
      </c>
      <c r="D243" s="18">
        <v>7661</v>
      </c>
      <c r="E243" s="18">
        <v>6786</v>
      </c>
      <c r="F243" s="18">
        <v>0</v>
      </c>
      <c r="G243" s="18">
        <v>0</v>
      </c>
      <c r="H243" s="19">
        <v>0</v>
      </c>
      <c r="I243" s="18">
        <v>14</v>
      </c>
      <c r="J243" s="18">
        <v>1366</v>
      </c>
      <c r="N243" s="2">
        <v>1994</v>
      </c>
      <c r="O243" s="2">
        <v>10</v>
      </c>
      <c r="P243" s="19">
        <f t="shared" si="1"/>
        <v>11562</v>
      </c>
      <c r="Q243" s="18">
        <v>9986</v>
      </c>
      <c r="R243" s="18">
        <v>1378</v>
      </c>
      <c r="S243" s="18">
        <v>0</v>
      </c>
      <c r="T243" s="18">
        <v>32</v>
      </c>
      <c r="U243" s="18">
        <v>166</v>
      </c>
    </row>
    <row r="244" spans="1:21">
      <c r="A244" s="2">
        <v>1994</v>
      </c>
      <c r="B244" s="2">
        <v>11</v>
      </c>
      <c r="C244" s="16">
        <f t="shared" si="0"/>
        <v>15388</v>
      </c>
      <c r="D244" s="18">
        <v>7183</v>
      </c>
      <c r="E244" s="18">
        <v>6868</v>
      </c>
      <c r="F244" s="18">
        <v>0</v>
      </c>
      <c r="G244" s="18">
        <v>0</v>
      </c>
      <c r="H244" s="19">
        <v>0</v>
      </c>
      <c r="I244" s="18">
        <v>14</v>
      </c>
      <c r="J244" s="18">
        <v>1323</v>
      </c>
      <c r="N244" s="2">
        <v>1994</v>
      </c>
      <c r="O244" s="2">
        <v>11</v>
      </c>
      <c r="P244" s="19">
        <f t="shared" si="1"/>
        <v>12174</v>
      </c>
      <c r="Q244" s="18">
        <v>10589</v>
      </c>
      <c r="R244" s="18">
        <v>1387</v>
      </c>
      <c r="S244" s="18">
        <v>0</v>
      </c>
      <c r="T244" s="18">
        <v>32</v>
      </c>
      <c r="U244" s="18">
        <v>166</v>
      </c>
    </row>
    <row r="245" spans="1:21">
      <c r="A245" s="2">
        <v>1994</v>
      </c>
      <c r="B245" s="2">
        <v>12</v>
      </c>
      <c r="C245" s="16">
        <f t="shared" si="0"/>
        <v>14882</v>
      </c>
      <c r="D245" s="18">
        <v>6910</v>
      </c>
      <c r="E245" s="18">
        <v>6677</v>
      </c>
      <c r="F245" s="18">
        <v>0</v>
      </c>
      <c r="G245" s="18">
        <v>0</v>
      </c>
      <c r="H245" s="19">
        <v>0</v>
      </c>
      <c r="I245" s="18">
        <v>14</v>
      </c>
      <c r="J245" s="18">
        <v>1281</v>
      </c>
      <c r="N245" s="2">
        <v>1994</v>
      </c>
      <c r="O245" s="2">
        <v>12</v>
      </c>
      <c r="P245" s="19">
        <f t="shared" si="1"/>
        <v>12608</v>
      </c>
      <c r="Q245" s="18">
        <v>11020</v>
      </c>
      <c r="R245" s="18">
        <v>1390</v>
      </c>
      <c r="S245" s="18">
        <v>0</v>
      </c>
      <c r="T245" s="18">
        <v>32</v>
      </c>
      <c r="U245" s="18">
        <v>166</v>
      </c>
    </row>
    <row r="246" spans="1:21">
      <c r="A246" s="2">
        <v>1995</v>
      </c>
      <c r="B246" s="2">
        <v>1</v>
      </c>
      <c r="C246" s="16">
        <f t="shared" si="0"/>
        <v>15701</v>
      </c>
      <c r="D246" s="18">
        <v>8759</v>
      </c>
      <c r="E246" s="18">
        <v>5827</v>
      </c>
      <c r="F246" s="18">
        <v>0</v>
      </c>
      <c r="G246" s="18">
        <v>0</v>
      </c>
      <c r="H246" s="19">
        <v>0</v>
      </c>
      <c r="I246" s="18">
        <v>14</v>
      </c>
      <c r="J246" s="18">
        <v>1101</v>
      </c>
      <c r="N246" s="2">
        <v>1995</v>
      </c>
      <c r="O246" s="2">
        <v>1</v>
      </c>
      <c r="P246" s="19">
        <f t="shared" si="1"/>
        <v>12873</v>
      </c>
      <c r="Q246" s="18">
        <v>11274</v>
      </c>
      <c r="R246" s="18">
        <v>1401</v>
      </c>
      <c r="S246" s="18">
        <v>0</v>
      </c>
      <c r="T246" s="18">
        <v>32</v>
      </c>
      <c r="U246" s="18">
        <v>166</v>
      </c>
    </row>
    <row r="247" spans="1:21">
      <c r="A247" s="2">
        <v>1995</v>
      </c>
      <c r="B247" s="2">
        <v>2</v>
      </c>
      <c r="C247" s="16">
        <f t="shared" si="0"/>
        <v>17573</v>
      </c>
      <c r="D247" s="18">
        <v>10947</v>
      </c>
      <c r="E247" s="18">
        <v>5544</v>
      </c>
      <c r="F247" s="18">
        <v>0</v>
      </c>
      <c r="G247" s="18">
        <v>0</v>
      </c>
      <c r="H247" s="19">
        <v>0</v>
      </c>
      <c r="I247" s="18">
        <v>14</v>
      </c>
      <c r="J247" s="18">
        <v>1068</v>
      </c>
      <c r="N247" s="2">
        <v>1995</v>
      </c>
      <c r="O247" s="2">
        <v>2</v>
      </c>
      <c r="P247" s="19">
        <f t="shared" si="1"/>
        <v>12986</v>
      </c>
      <c r="Q247" s="18">
        <v>11375</v>
      </c>
      <c r="R247" s="18">
        <v>1404</v>
      </c>
      <c r="S247" s="18">
        <v>0</v>
      </c>
      <c r="T247" s="18">
        <v>32</v>
      </c>
      <c r="U247" s="18">
        <v>175</v>
      </c>
    </row>
    <row r="248" spans="1:21">
      <c r="A248" s="2">
        <v>1995</v>
      </c>
      <c r="B248" s="2">
        <v>3</v>
      </c>
      <c r="C248" s="16">
        <f t="shared" si="0"/>
        <v>14164</v>
      </c>
      <c r="D248" s="18">
        <f>4693+2939</f>
        <v>7632</v>
      </c>
      <c r="E248" s="18">
        <v>5649</v>
      </c>
      <c r="F248" s="18">
        <v>0</v>
      </c>
      <c r="G248" s="18">
        <v>0</v>
      </c>
      <c r="H248" s="19">
        <v>0</v>
      </c>
      <c r="I248" s="18">
        <v>0</v>
      </c>
      <c r="J248" s="18">
        <v>883</v>
      </c>
      <c r="N248" s="2">
        <v>1995</v>
      </c>
      <c r="O248" s="2">
        <v>3</v>
      </c>
      <c r="P248" s="19">
        <f t="shared" si="1"/>
        <v>12747</v>
      </c>
      <c r="Q248" s="18">
        <v>11224</v>
      </c>
      <c r="R248" s="18">
        <v>1351</v>
      </c>
      <c r="S248" s="18">
        <v>0</v>
      </c>
      <c r="T248" s="18">
        <v>0</v>
      </c>
      <c r="U248" s="18">
        <v>172</v>
      </c>
    </row>
    <row r="249" spans="1:21">
      <c r="A249" s="2">
        <v>1995</v>
      </c>
      <c r="B249" s="2">
        <v>4</v>
      </c>
      <c r="C249" s="16">
        <f t="shared" si="0"/>
        <v>15071</v>
      </c>
      <c r="D249" s="18">
        <v>7292</v>
      </c>
      <c r="E249" s="18">
        <v>6556</v>
      </c>
      <c r="F249" s="18">
        <v>0</v>
      </c>
      <c r="G249" s="18">
        <v>0</v>
      </c>
      <c r="H249" s="19">
        <v>0</v>
      </c>
      <c r="I249" s="18">
        <v>28</v>
      </c>
      <c r="J249" s="18">
        <v>1195</v>
      </c>
      <c r="N249" s="2">
        <v>1995</v>
      </c>
      <c r="O249" s="2">
        <v>4</v>
      </c>
      <c r="P249" s="19">
        <f t="shared" si="1"/>
        <v>12359</v>
      </c>
      <c r="Q249" s="18">
        <v>10669</v>
      </c>
      <c r="R249" s="18">
        <v>1429</v>
      </c>
      <c r="S249" s="18">
        <v>0</v>
      </c>
      <c r="T249" s="18">
        <v>64</v>
      </c>
      <c r="U249" s="18">
        <v>197</v>
      </c>
    </row>
    <row r="250" spans="1:21">
      <c r="A250" s="2">
        <v>1995</v>
      </c>
      <c r="B250" s="2">
        <v>5</v>
      </c>
      <c r="C250" s="16">
        <f t="shared" si="0"/>
        <v>15924</v>
      </c>
      <c r="D250" s="18">
        <f>(4748+3537)</f>
        <v>8285</v>
      </c>
      <c r="E250" s="18">
        <f>3013+3459</f>
        <v>6472</v>
      </c>
      <c r="F250" s="18">
        <v>0</v>
      </c>
      <c r="G250" s="18">
        <v>0</v>
      </c>
      <c r="H250" s="19">
        <v>0</v>
      </c>
      <c r="I250" s="18">
        <v>14</v>
      </c>
      <c r="J250" s="18">
        <f>375+778</f>
        <v>1153</v>
      </c>
      <c r="N250" s="2">
        <v>1995</v>
      </c>
      <c r="O250" s="2">
        <v>5</v>
      </c>
      <c r="P250" s="19">
        <f t="shared" si="1"/>
        <v>11977</v>
      </c>
      <c r="Q250" s="18">
        <f>6118+4184</f>
        <v>10302</v>
      </c>
      <c r="R250" s="18">
        <f>530+922</f>
        <v>1452</v>
      </c>
      <c r="S250" s="18">
        <v>0</v>
      </c>
      <c r="T250" s="18">
        <v>32</v>
      </c>
      <c r="U250" s="18">
        <f>68+123</f>
        <v>191</v>
      </c>
    </row>
    <row r="251" spans="1:21">
      <c r="A251" s="2">
        <v>1995</v>
      </c>
      <c r="B251" s="2">
        <v>6</v>
      </c>
      <c r="C251" s="16">
        <f t="shared" si="0"/>
        <v>18207</v>
      </c>
      <c r="D251" s="18">
        <f>5042+4522</f>
        <v>9564</v>
      </c>
      <c r="E251" s="18">
        <f>3134+4232</f>
        <v>7366</v>
      </c>
      <c r="F251" s="18">
        <v>0</v>
      </c>
      <c r="G251" s="18">
        <v>0</v>
      </c>
      <c r="H251" s="19">
        <v>0</v>
      </c>
      <c r="I251" s="18">
        <v>14</v>
      </c>
      <c r="J251" s="18">
        <v>1263</v>
      </c>
      <c r="N251" s="2">
        <v>1995</v>
      </c>
      <c r="O251" s="2">
        <v>6</v>
      </c>
      <c r="P251" s="19">
        <f t="shared" si="1"/>
        <v>11237</v>
      </c>
      <c r="Q251" s="18">
        <f>5629+4056</f>
        <v>9685</v>
      </c>
      <c r="R251" s="18">
        <f>498+840</f>
        <v>1338</v>
      </c>
      <c r="S251" s="18">
        <v>0</v>
      </c>
      <c r="T251" s="18">
        <v>32</v>
      </c>
      <c r="U251" s="18">
        <f>115+67</f>
        <v>182</v>
      </c>
    </row>
    <row r="252" spans="1:21">
      <c r="A252" s="2">
        <v>1995</v>
      </c>
      <c r="B252" s="2">
        <v>7</v>
      </c>
      <c r="C252" s="16">
        <f t="shared" si="0"/>
        <v>19252</v>
      </c>
      <c r="D252" s="18">
        <f>5251+4477</f>
        <v>9728</v>
      </c>
      <c r="E252" s="18">
        <f>3956+3874</f>
        <v>7830</v>
      </c>
      <c r="F252" s="18">
        <v>0</v>
      </c>
      <c r="G252" s="18">
        <v>0</v>
      </c>
      <c r="H252" s="19">
        <v>0</v>
      </c>
      <c r="I252" s="18">
        <v>14</v>
      </c>
      <c r="J252" s="18">
        <f>366+1314</f>
        <v>1680</v>
      </c>
      <c r="N252" s="2">
        <v>1995</v>
      </c>
      <c r="O252" s="2">
        <v>7</v>
      </c>
      <c r="P252" s="19">
        <f t="shared" si="1"/>
        <v>11005</v>
      </c>
      <c r="Q252" s="18">
        <f>5572+3988</f>
        <v>9560</v>
      </c>
      <c r="R252" s="18">
        <f>501+732</f>
        <v>1233</v>
      </c>
      <c r="S252" s="18">
        <v>0</v>
      </c>
      <c r="T252" s="18">
        <v>32</v>
      </c>
      <c r="U252" s="18">
        <f>68+112</f>
        <v>180</v>
      </c>
    </row>
    <row r="253" spans="1:21">
      <c r="A253" s="2">
        <v>1995</v>
      </c>
      <c r="B253" s="2">
        <v>8</v>
      </c>
      <c r="C253" s="16">
        <f t="shared" si="0"/>
        <v>17794</v>
      </c>
      <c r="D253" s="18">
        <v>8895</v>
      </c>
      <c r="E253" s="18">
        <v>7423</v>
      </c>
      <c r="F253" s="18">
        <v>0</v>
      </c>
      <c r="G253" s="18">
        <v>0</v>
      </c>
      <c r="H253" s="19">
        <v>0</v>
      </c>
      <c r="I253" s="18">
        <v>14</v>
      </c>
      <c r="J253" s="18">
        <f>384+1078</f>
        <v>1462</v>
      </c>
      <c r="N253" s="2">
        <v>1995</v>
      </c>
      <c r="O253" s="2">
        <v>8</v>
      </c>
      <c r="P253" s="19">
        <f t="shared" si="1"/>
        <v>11136</v>
      </c>
      <c r="Q253" s="18">
        <f>5406+4150</f>
        <v>9556</v>
      </c>
      <c r="R253" s="18">
        <f>509+853</f>
        <v>1362</v>
      </c>
      <c r="S253" s="18">
        <v>0</v>
      </c>
      <c r="T253" s="18">
        <v>32</v>
      </c>
      <c r="U253" s="18">
        <f>117+69</f>
        <v>186</v>
      </c>
    </row>
    <row r="254" spans="1:21">
      <c r="A254" s="2">
        <v>1995</v>
      </c>
      <c r="B254" s="2">
        <v>9</v>
      </c>
      <c r="C254" s="16">
        <f t="shared" si="0"/>
        <v>19296</v>
      </c>
      <c r="D254" s="18">
        <f>(5769+4706)</f>
        <v>10475</v>
      </c>
      <c r="E254" s="18">
        <f>(3190+4171)</f>
        <v>7361</v>
      </c>
      <c r="F254" s="18">
        <v>0</v>
      </c>
      <c r="G254" s="18">
        <v>0</v>
      </c>
      <c r="H254" s="19">
        <v>0</v>
      </c>
      <c r="I254" s="18">
        <v>14</v>
      </c>
      <c r="J254" s="18">
        <f>(441+1005)</f>
        <v>1446</v>
      </c>
      <c r="N254" s="2">
        <v>1995</v>
      </c>
      <c r="O254" s="2">
        <v>9</v>
      </c>
      <c r="P254" s="19">
        <f t="shared" si="1"/>
        <v>12826</v>
      </c>
      <c r="Q254" s="18">
        <f>(6462+4522)</f>
        <v>10984</v>
      </c>
      <c r="R254" s="18">
        <f>(619+984)</f>
        <v>1603</v>
      </c>
      <c r="S254" s="18">
        <v>0</v>
      </c>
      <c r="T254" s="18">
        <v>32</v>
      </c>
      <c r="U254" s="18">
        <f>(74+133)</f>
        <v>207</v>
      </c>
    </row>
    <row r="255" spans="1:21">
      <c r="A255" s="2">
        <v>1995</v>
      </c>
      <c r="B255" s="2">
        <v>10</v>
      </c>
      <c r="C255" s="16">
        <f t="shared" si="0"/>
        <v>18768</v>
      </c>
      <c r="D255" s="18">
        <f>(5113+4060)</f>
        <v>9173</v>
      </c>
      <c r="E255" s="18">
        <f>(3948+4140)</f>
        <v>8088</v>
      </c>
      <c r="F255" s="18">
        <v>0</v>
      </c>
      <c r="G255" s="18">
        <v>0</v>
      </c>
      <c r="H255" s="19">
        <v>0</v>
      </c>
      <c r="I255" s="18">
        <v>14</v>
      </c>
      <c r="J255" s="18">
        <f>(448+1045)</f>
        <v>1493</v>
      </c>
      <c r="N255" s="2">
        <v>1995</v>
      </c>
      <c r="O255" s="2">
        <v>10</v>
      </c>
      <c r="P255" s="19">
        <f t="shared" si="1"/>
        <v>11822</v>
      </c>
      <c r="Q255" s="18">
        <f>(5953+4154)</f>
        <v>10107</v>
      </c>
      <c r="R255" s="18">
        <f>(539+955)</f>
        <v>1494</v>
      </c>
      <c r="S255" s="18">
        <v>0</v>
      </c>
      <c r="T255" s="18">
        <v>32</v>
      </c>
      <c r="U255" s="18">
        <f>(69+120)</f>
        <v>189</v>
      </c>
    </row>
    <row r="256" spans="1:21">
      <c r="A256" s="2">
        <v>1995</v>
      </c>
      <c r="B256" s="48">
        <v>11</v>
      </c>
      <c r="C256" s="16">
        <f t="shared" si="0"/>
        <v>15675</v>
      </c>
      <c r="D256" s="18">
        <f>(4479+3191)</f>
        <v>7670</v>
      </c>
      <c r="E256" s="18">
        <f>2958+3694</f>
        <v>6652</v>
      </c>
      <c r="F256" s="18">
        <v>0</v>
      </c>
      <c r="G256" s="18">
        <v>0</v>
      </c>
      <c r="H256" s="19">
        <v>0</v>
      </c>
      <c r="I256" s="18">
        <v>14</v>
      </c>
      <c r="J256" s="18">
        <f>374+965</f>
        <v>1339</v>
      </c>
      <c r="N256" s="2">
        <v>1995</v>
      </c>
      <c r="O256" s="2">
        <v>11</v>
      </c>
      <c r="P256" s="19">
        <f t="shared" si="1"/>
        <v>12706</v>
      </c>
      <c r="Q256" s="18">
        <f>6705+4321</f>
        <v>11026</v>
      </c>
      <c r="R256" s="18">
        <f>552+905</f>
        <v>1457</v>
      </c>
      <c r="S256" s="18">
        <v>0</v>
      </c>
      <c r="T256" s="18">
        <v>32</v>
      </c>
      <c r="U256" s="18">
        <f>119+72</f>
        <v>191</v>
      </c>
    </row>
    <row r="257" spans="1:21">
      <c r="A257" s="2">
        <v>1995</v>
      </c>
      <c r="B257" s="48">
        <v>12</v>
      </c>
      <c r="C257" s="16">
        <f t="shared" si="0"/>
        <v>14985</v>
      </c>
      <c r="D257" s="18">
        <f>(4743+2864)</f>
        <v>7607</v>
      </c>
      <c r="E257" s="18">
        <f>(3121+3109)</f>
        <v>6230</v>
      </c>
      <c r="F257" s="18">
        <v>0</v>
      </c>
      <c r="G257" s="18">
        <v>0</v>
      </c>
      <c r="H257" s="19">
        <v>0</v>
      </c>
      <c r="I257" s="18">
        <v>14</v>
      </c>
      <c r="J257" s="18">
        <f>366+768</f>
        <v>1134</v>
      </c>
      <c r="N257" s="2">
        <v>1995</v>
      </c>
      <c r="O257" s="2">
        <v>12</v>
      </c>
      <c r="P257" s="19">
        <f t="shared" si="1"/>
        <v>13097</v>
      </c>
      <c r="Q257" s="18">
        <f>7129+4294</f>
        <v>11423</v>
      </c>
      <c r="R257" s="18">
        <f>570+887</f>
        <v>1457</v>
      </c>
      <c r="S257" s="18">
        <v>0</v>
      </c>
      <c r="T257" s="18">
        <v>32</v>
      </c>
      <c r="U257" s="18">
        <f>70+115</f>
        <v>185</v>
      </c>
    </row>
    <row r="258" spans="1:21">
      <c r="A258" s="2">
        <v>1996</v>
      </c>
      <c r="B258" s="2">
        <v>1</v>
      </c>
      <c r="C258" s="16">
        <f t="shared" si="0"/>
        <v>16969</v>
      </c>
      <c r="D258" s="18">
        <f>6182+4536</f>
        <v>10718</v>
      </c>
      <c r="E258" s="18">
        <f>2341+2867</f>
        <v>5208</v>
      </c>
      <c r="F258" s="18">
        <v>0</v>
      </c>
      <c r="G258" s="18">
        <v>0</v>
      </c>
      <c r="H258" s="19">
        <v>0</v>
      </c>
      <c r="I258" s="18">
        <v>14</v>
      </c>
      <c r="J258" s="18">
        <f>287+742</f>
        <v>1029</v>
      </c>
      <c r="N258" s="2">
        <v>1996</v>
      </c>
      <c r="O258" s="2">
        <v>1</v>
      </c>
      <c r="P258" s="19">
        <f t="shared" si="1"/>
        <v>11636</v>
      </c>
      <c r="Q258" s="18">
        <f>5848+4277</f>
        <v>10125</v>
      </c>
      <c r="R258" s="18">
        <f>524+775</f>
        <v>1299</v>
      </c>
      <c r="S258" s="18">
        <v>0</v>
      </c>
      <c r="T258" s="18">
        <v>32</v>
      </c>
      <c r="U258" s="18">
        <f>70+110</f>
        <v>180</v>
      </c>
    </row>
    <row r="259" spans="1:21">
      <c r="A259" s="2">
        <v>1996</v>
      </c>
      <c r="B259" s="2">
        <v>2</v>
      </c>
      <c r="C259" s="16">
        <f t="shared" ref="C259:C274" si="2">SUM(D259:F259,I259:J259)</f>
        <v>19222</v>
      </c>
      <c r="D259" s="18">
        <f>(7370+4087)</f>
        <v>11457</v>
      </c>
      <c r="E259" s="18">
        <f>(3053+3513)</f>
        <v>6566</v>
      </c>
      <c r="F259" s="18">
        <v>0</v>
      </c>
      <c r="G259" s="18">
        <v>0</v>
      </c>
      <c r="H259" s="19">
        <v>0</v>
      </c>
      <c r="I259" s="18">
        <v>14</v>
      </c>
      <c r="J259" s="18">
        <f>(323+862)</f>
        <v>1185</v>
      </c>
      <c r="N259" s="2">
        <v>1996</v>
      </c>
      <c r="O259" s="2">
        <v>2</v>
      </c>
      <c r="P259" s="19">
        <f t="shared" ref="P259:P274" si="3">SUM(Q259:U259)</f>
        <v>13899</v>
      </c>
      <c r="Q259" s="18">
        <f>(7682+4445)</f>
        <v>12127</v>
      </c>
      <c r="R259" s="18">
        <f>(547+989)</f>
        <v>1536</v>
      </c>
      <c r="S259" s="18">
        <v>0</v>
      </c>
      <c r="T259" s="18">
        <v>32</v>
      </c>
      <c r="U259" s="18">
        <f>(70+134)</f>
        <v>204</v>
      </c>
    </row>
    <row r="260" spans="1:21">
      <c r="A260" s="2">
        <v>1996</v>
      </c>
      <c r="B260" s="2">
        <v>3</v>
      </c>
      <c r="C260" s="16">
        <f t="shared" si="2"/>
        <v>15118</v>
      </c>
      <c r="D260" s="18">
        <v>8426</v>
      </c>
      <c r="E260" s="18">
        <f>2818+2721</f>
        <v>5539</v>
      </c>
      <c r="F260" s="18">
        <v>0</v>
      </c>
      <c r="G260" s="18">
        <v>0</v>
      </c>
      <c r="H260" s="19">
        <v>0</v>
      </c>
      <c r="I260" s="18">
        <v>14</v>
      </c>
      <c r="J260" s="18">
        <f>342+797</f>
        <v>1139</v>
      </c>
      <c r="N260" s="2">
        <v>1996</v>
      </c>
      <c r="O260" s="2">
        <v>3</v>
      </c>
      <c r="P260" s="19">
        <f t="shared" si="3"/>
        <v>12096</v>
      </c>
      <c r="Q260" s="18">
        <f>(6260+4316)</f>
        <v>10576</v>
      </c>
      <c r="R260" s="18">
        <f>534+772</f>
        <v>1306</v>
      </c>
      <c r="S260" s="18">
        <v>0</v>
      </c>
      <c r="T260" s="18">
        <v>32</v>
      </c>
      <c r="U260" s="18">
        <v>182</v>
      </c>
    </row>
    <row r="261" spans="1:21">
      <c r="A261" s="2">
        <v>1996</v>
      </c>
      <c r="B261" s="2">
        <v>4</v>
      </c>
      <c r="C261" s="16">
        <f t="shared" si="2"/>
        <v>16546</v>
      </c>
      <c r="D261" s="9">
        <v>9073</v>
      </c>
      <c r="E261" s="9">
        <v>6224</v>
      </c>
      <c r="F261" s="9">
        <v>0</v>
      </c>
      <c r="G261" s="9">
        <v>0</v>
      </c>
      <c r="H261" s="2">
        <v>0</v>
      </c>
      <c r="I261" s="9">
        <v>15</v>
      </c>
      <c r="J261" s="9">
        <v>1234</v>
      </c>
      <c r="N261" s="2">
        <v>1996</v>
      </c>
      <c r="O261" s="2">
        <v>4</v>
      </c>
      <c r="P261" s="19">
        <f t="shared" si="3"/>
        <v>13470</v>
      </c>
      <c r="Q261" s="9">
        <v>11738</v>
      </c>
      <c r="R261" s="9">
        <v>1522</v>
      </c>
      <c r="S261" s="9">
        <v>0</v>
      </c>
      <c r="T261" s="9">
        <v>18</v>
      </c>
      <c r="U261" s="9">
        <v>192</v>
      </c>
    </row>
    <row r="262" spans="1:21">
      <c r="A262" s="2">
        <v>1996</v>
      </c>
      <c r="B262" s="2">
        <v>5</v>
      </c>
      <c r="C262" s="16">
        <f t="shared" si="2"/>
        <v>14735</v>
      </c>
      <c r="D262" s="9">
        <v>6875</v>
      </c>
      <c r="E262" s="9">
        <v>6544</v>
      </c>
      <c r="F262" s="9">
        <v>0</v>
      </c>
      <c r="G262" s="9">
        <v>0</v>
      </c>
      <c r="H262" s="2">
        <v>0</v>
      </c>
      <c r="I262" s="9">
        <v>14</v>
      </c>
      <c r="J262" s="9">
        <v>1302</v>
      </c>
      <c r="N262" s="2">
        <v>1996</v>
      </c>
      <c r="O262" s="2">
        <v>5</v>
      </c>
      <c r="P262" s="19">
        <f t="shared" si="3"/>
        <v>11257</v>
      </c>
      <c r="Q262" s="9">
        <v>9715</v>
      </c>
      <c r="R262" s="9">
        <v>1341</v>
      </c>
      <c r="S262" s="9">
        <v>0</v>
      </c>
      <c r="T262" s="9">
        <v>18</v>
      </c>
      <c r="U262" s="9">
        <v>183</v>
      </c>
    </row>
    <row r="263" spans="1:21">
      <c r="A263" s="2">
        <v>1996</v>
      </c>
      <c r="B263" s="2">
        <v>6</v>
      </c>
      <c r="C263" s="16">
        <f t="shared" si="2"/>
        <v>17857</v>
      </c>
      <c r="D263" s="9">
        <f>5102+4051</f>
        <v>9153</v>
      </c>
      <c r="E263" s="9">
        <f>3360+3976</f>
        <v>7336</v>
      </c>
      <c r="F263" s="9">
        <v>0</v>
      </c>
      <c r="G263" s="9">
        <v>0</v>
      </c>
      <c r="H263" s="2">
        <v>0</v>
      </c>
      <c r="I263" s="9">
        <v>15</v>
      </c>
      <c r="J263" s="9">
        <f>361+992</f>
        <v>1353</v>
      </c>
      <c r="N263" s="2">
        <v>1996</v>
      </c>
      <c r="O263" s="2">
        <v>6</v>
      </c>
      <c r="P263" s="19">
        <f t="shared" si="3"/>
        <v>11946</v>
      </c>
      <c r="Q263" s="9">
        <v>10319</v>
      </c>
      <c r="R263" s="9">
        <v>1419</v>
      </c>
      <c r="S263" s="9">
        <v>0</v>
      </c>
      <c r="T263" s="9">
        <v>18</v>
      </c>
      <c r="U263" s="9">
        <f>70+120</f>
        <v>190</v>
      </c>
    </row>
    <row r="264" spans="1:21">
      <c r="A264" s="2">
        <v>1996</v>
      </c>
      <c r="B264" s="2">
        <v>7</v>
      </c>
      <c r="C264" s="16">
        <f t="shared" si="2"/>
        <v>17028</v>
      </c>
      <c r="D264" s="9">
        <v>8494</v>
      </c>
      <c r="E264" s="9">
        <v>7101</v>
      </c>
      <c r="F264" s="9">
        <v>0</v>
      </c>
      <c r="G264" s="9">
        <v>0</v>
      </c>
      <c r="H264" s="2">
        <v>0</v>
      </c>
      <c r="I264" s="9">
        <v>14</v>
      </c>
      <c r="J264" s="9">
        <v>1419</v>
      </c>
      <c r="N264" s="2">
        <v>1996</v>
      </c>
      <c r="O264" s="2">
        <v>7</v>
      </c>
      <c r="P264" s="19">
        <f t="shared" si="3"/>
        <v>10675</v>
      </c>
      <c r="Q264" s="9">
        <v>9191</v>
      </c>
      <c r="R264" s="9">
        <v>1288</v>
      </c>
      <c r="S264" s="9">
        <v>0</v>
      </c>
      <c r="T264" s="9">
        <v>18</v>
      </c>
      <c r="U264" s="9">
        <v>178</v>
      </c>
    </row>
    <row r="265" spans="1:21">
      <c r="A265" s="2">
        <v>1996</v>
      </c>
      <c r="B265" s="2">
        <v>8</v>
      </c>
      <c r="C265" s="16">
        <f>SUM(D265:E265,I265:J265)</f>
        <v>20241</v>
      </c>
      <c r="D265" s="9">
        <v>11083</v>
      </c>
      <c r="E265" s="9">
        <v>7706</v>
      </c>
      <c r="F265" s="9">
        <v>0</v>
      </c>
      <c r="G265" s="9">
        <v>0</v>
      </c>
      <c r="H265" s="2">
        <v>0</v>
      </c>
      <c r="I265" s="9">
        <v>14</v>
      </c>
      <c r="J265" s="9">
        <v>1438</v>
      </c>
      <c r="N265" s="2">
        <v>1996</v>
      </c>
      <c r="O265" s="2">
        <v>8</v>
      </c>
      <c r="P265" s="19">
        <f t="shared" si="3"/>
        <v>12154</v>
      </c>
      <c r="Q265" s="9">
        <f>6241+4190</f>
        <v>10431</v>
      </c>
      <c r="R265" s="9">
        <f>541+977</f>
        <v>1518</v>
      </c>
      <c r="S265" s="9">
        <v>0</v>
      </c>
      <c r="T265" s="9">
        <v>18</v>
      </c>
      <c r="U265" s="9">
        <f>71+116</f>
        <v>187</v>
      </c>
    </row>
    <row r="266" spans="1:21">
      <c r="A266" s="2">
        <v>1996</v>
      </c>
      <c r="B266" s="2">
        <v>9</v>
      </c>
      <c r="C266" s="16">
        <f t="shared" si="2"/>
        <v>18546</v>
      </c>
      <c r="D266" s="9">
        <f>5143+4617</f>
        <v>9760</v>
      </c>
      <c r="E266" s="9">
        <f>3567+3651</f>
        <v>7218</v>
      </c>
      <c r="F266" s="9">
        <v>0</v>
      </c>
      <c r="G266" s="9">
        <v>0</v>
      </c>
      <c r="H266" s="2">
        <v>0</v>
      </c>
      <c r="I266" s="9">
        <v>14</v>
      </c>
      <c r="J266" s="9">
        <f>440+1114</f>
        <v>1554</v>
      </c>
      <c r="N266" s="2">
        <v>1996</v>
      </c>
      <c r="O266" s="2">
        <v>9</v>
      </c>
      <c r="P266" s="19">
        <f t="shared" si="3"/>
        <v>11397</v>
      </c>
      <c r="Q266" s="9">
        <f>5712+4112</f>
        <v>9824</v>
      </c>
      <c r="R266" s="9">
        <f>531+842</f>
        <v>1373</v>
      </c>
      <c r="S266" s="9">
        <v>0</v>
      </c>
      <c r="T266" s="9">
        <v>18</v>
      </c>
      <c r="U266" s="9">
        <f>71+111</f>
        <v>182</v>
      </c>
    </row>
    <row r="267" spans="1:21">
      <c r="A267" s="2">
        <v>1996</v>
      </c>
      <c r="B267" s="2">
        <v>10</v>
      </c>
      <c r="C267" s="16">
        <f t="shared" si="2"/>
        <v>16480</v>
      </c>
      <c r="D267" s="9">
        <v>8428</v>
      </c>
      <c r="E267" s="9">
        <v>6629</v>
      </c>
      <c r="F267" s="9">
        <v>0</v>
      </c>
      <c r="G267" s="9">
        <v>0</v>
      </c>
      <c r="H267" s="2">
        <v>0</v>
      </c>
      <c r="I267" s="9">
        <v>14</v>
      </c>
      <c r="J267" s="9">
        <v>1409</v>
      </c>
      <c r="N267" s="2">
        <v>1996</v>
      </c>
      <c r="O267" s="2">
        <v>10</v>
      </c>
      <c r="P267" s="19">
        <f t="shared" si="3"/>
        <v>11968</v>
      </c>
      <c r="Q267" s="9">
        <v>10361</v>
      </c>
      <c r="R267" s="9">
        <v>1403</v>
      </c>
      <c r="S267" s="9">
        <v>0</v>
      </c>
      <c r="T267" s="9">
        <v>18</v>
      </c>
      <c r="U267" s="9">
        <v>186</v>
      </c>
    </row>
    <row r="268" spans="1:21">
      <c r="A268" s="2">
        <v>1996</v>
      </c>
      <c r="B268" s="48">
        <v>11</v>
      </c>
      <c r="C268" s="16">
        <f t="shared" si="2"/>
        <v>14602</v>
      </c>
      <c r="D268" s="9">
        <v>6641</v>
      </c>
      <c r="E268" s="9">
        <v>6574</v>
      </c>
      <c r="F268" s="9">
        <v>7</v>
      </c>
      <c r="G268" s="9">
        <v>0</v>
      </c>
      <c r="H268" s="2">
        <f t="shared" ref="H268:H327" si="4">F268-G268</f>
        <v>7</v>
      </c>
      <c r="I268" s="9">
        <v>15</v>
      </c>
      <c r="J268" s="9">
        <v>1365</v>
      </c>
      <c r="N268" s="2">
        <v>1996</v>
      </c>
      <c r="O268" s="48">
        <v>11</v>
      </c>
      <c r="P268" s="19">
        <f t="shared" si="3"/>
        <v>11931</v>
      </c>
      <c r="Q268" s="9">
        <v>10238</v>
      </c>
      <c r="R268" s="9">
        <v>1478</v>
      </c>
      <c r="S268" s="9">
        <v>2</v>
      </c>
      <c r="T268" s="9">
        <v>19</v>
      </c>
      <c r="U268" s="9">
        <v>194</v>
      </c>
    </row>
    <row r="269" spans="1:21">
      <c r="A269" s="2">
        <v>1996</v>
      </c>
      <c r="B269" s="48">
        <v>12</v>
      </c>
      <c r="C269" s="16">
        <f t="shared" si="2"/>
        <v>15358</v>
      </c>
      <c r="D269" s="9">
        <f>4938+2901</f>
        <v>7839</v>
      </c>
      <c r="E269" s="9">
        <f>3054+3143</f>
        <v>6197</v>
      </c>
      <c r="F269" s="9">
        <v>6</v>
      </c>
      <c r="G269" s="9">
        <v>0</v>
      </c>
      <c r="H269" s="2">
        <f t="shared" si="4"/>
        <v>6</v>
      </c>
      <c r="I269" s="9">
        <v>16</v>
      </c>
      <c r="J269" s="9">
        <f>344+956</f>
        <v>1300</v>
      </c>
      <c r="N269" s="2">
        <v>1996</v>
      </c>
      <c r="O269" s="48">
        <v>12</v>
      </c>
      <c r="P269" s="19">
        <f t="shared" si="3"/>
        <v>13190</v>
      </c>
      <c r="Q269" s="9">
        <f>7257+4254</f>
        <v>11511</v>
      </c>
      <c r="R269" s="9">
        <f>564+894</f>
        <v>1458</v>
      </c>
      <c r="S269" s="9">
        <v>2</v>
      </c>
      <c r="T269" s="9">
        <v>19</v>
      </c>
      <c r="U269" s="9">
        <f>74+126</f>
        <v>200</v>
      </c>
    </row>
    <row r="270" spans="1:21">
      <c r="A270" s="2">
        <v>1997</v>
      </c>
      <c r="B270" s="2">
        <v>1</v>
      </c>
      <c r="C270" s="16">
        <f t="shared" si="2"/>
        <v>16273</v>
      </c>
      <c r="D270" s="9">
        <f>5453+3595</f>
        <v>9048</v>
      </c>
      <c r="E270" s="9">
        <v>6030</v>
      </c>
      <c r="F270" s="9">
        <v>5</v>
      </c>
      <c r="G270" s="9">
        <v>0</v>
      </c>
      <c r="H270" s="2">
        <f t="shared" si="4"/>
        <v>5</v>
      </c>
      <c r="I270" s="9">
        <v>15</v>
      </c>
      <c r="J270" s="9">
        <f>293+882</f>
        <v>1175</v>
      </c>
      <c r="N270" s="2">
        <v>1997</v>
      </c>
      <c r="O270" s="2">
        <v>1</v>
      </c>
      <c r="P270" s="19">
        <f t="shared" si="3"/>
        <v>12719</v>
      </c>
      <c r="Q270" s="9">
        <f>6781+4295</f>
        <v>11076</v>
      </c>
      <c r="R270" s="9">
        <f>556+860</f>
        <v>1416</v>
      </c>
      <c r="S270" s="9">
        <v>2</v>
      </c>
      <c r="T270" s="9">
        <v>19</v>
      </c>
      <c r="U270" s="9">
        <f>74+132</f>
        <v>206</v>
      </c>
    </row>
    <row r="271" spans="1:21">
      <c r="A271" s="2">
        <v>1997</v>
      </c>
      <c r="B271" s="2">
        <v>2</v>
      </c>
      <c r="C271" s="16">
        <f t="shared" si="2"/>
        <v>15864</v>
      </c>
      <c r="D271" s="9">
        <f>5401+3361</f>
        <v>8762</v>
      </c>
      <c r="E271" s="9">
        <f>2820+3008</f>
        <v>5828</v>
      </c>
      <c r="F271" s="9">
        <v>5</v>
      </c>
      <c r="G271" s="9">
        <v>0</v>
      </c>
      <c r="H271" s="2">
        <f t="shared" si="4"/>
        <v>5</v>
      </c>
      <c r="I271" s="9">
        <v>15</v>
      </c>
      <c r="J271" s="9">
        <f>356+898</f>
        <v>1254</v>
      </c>
      <c r="N271" s="2">
        <v>1997</v>
      </c>
      <c r="O271" s="2">
        <v>2</v>
      </c>
      <c r="P271" s="19">
        <f t="shared" si="3"/>
        <v>13061</v>
      </c>
      <c r="Q271" s="9">
        <f>7064+4317</f>
        <v>11381</v>
      </c>
      <c r="R271" s="9">
        <f>560+890</f>
        <v>1450</v>
      </c>
      <c r="S271" s="9">
        <v>2</v>
      </c>
      <c r="T271" s="9">
        <v>19</v>
      </c>
      <c r="U271" s="9">
        <f>75+134</f>
        <v>209</v>
      </c>
    </row>
    <row r="272" spans="1:21">
      <c r="A272" s="2">
        <v>1997</v>
      </c>
      <c r="B272" s="2">
        <v>3</v>
      </c>
      <c r="C272" s="16">
        <f t="shared" si="2"/>
        <v>15206</v>
      </c>
      <c r="D272" s="9">
        <f>4469+2968</f>
        <v>7437</v>
      </c>
      <c r="E272" s="9">
        <f>3115+3382</f>
        <v>6497</v>
      </c>
      <c r="F272" s="9">
        <v>7</v>
      </c>
      <c r="G272" s="9">
        <v>0</v>
      </c>
      <c r="H272" s="2">
        <f t="shared" si="4"/>
        <v>7</v>
      </c>
      <c r="I272" s="9">
        <v>10</v>
      </c>
      <c r="J272" s="9">
        <f>337+918</f>
        <v>1255</v>
      </c>
      <c r="N272" s="2">
        <v>1997</v>
      </c>
      <c r="O272" s="2">
        <v>3</v>
      </c>
      <c r="P272" s="19">
        <f t="shared" si="3"/>
        <v>13041</v>
      </c>
      <c r="Q272" s="9">
        <f>7051+4310</f>
        <v>11361</v>
      </c>
      <c r="R272" s="9">
        <f>541+911</f>
        <v>1452</v>
      </c>
      <c r="S272" s="9">
        <v>2</v>
      </c>
      <c r="T272" s="9">
        <v>18</v>
      </c>
      <c r="U272" s="9">
        <f>72+136</f>
        <v>208</v>
      </c>
    </row>
    <row r="273" spans="1:21">
      <c r="A273" s="2">
        <v>1997</v>
      </c>
      <c r="B273" s="2">
        <v>4</v>
      </c>
      <c r="C273" s="16">
        <f t="shared" si="2"/>
        <v>15702</v>
      </c>
      <c r="D273" s="34">
        <f>4589+2953</f>
        <v>7542</v>
      </c>
      <c r="E273" s="9">
        <f>3033+3796</f>
        <v>6829</v>
      </c>
      <c r="F273" s="9">
        <v>6</v>
      </c>
      <c r="G273" s="9">
        <v>0</v>
      </c>
      <c r="H273" s="2">
        <f t="shared" si="4"/>
        <v>6</v>
      </c>
      <c r="I273" s="9">
        <v>14</v>
      </c>
      <c r="J273" s="9">
        <f>327+984</f>
        <v>1311</v>
      </c>
      <c r="N273" s="2">
        <v>1997</v>
      </c>
      <c r="O273" s="2">
        <v>4</v>
      </c>
      <c r="P273" s="19">
        <f t="shared" si="3"/>
        <v>12715</v>
      </c>
      <c r="Q273" s="34">
        <f>6756+4261</f>
        <v>11017</v>
      </c>
      <c r="R273" s="9">
        <f>536+935</f>
        <v>1471</v>
      </c>
      <c r="S273" s="9">
        <v>2</v>
      </c>
      <c r="T273" s="9">
        <v>18</v>
      </c>
      <c r="U273" s="9">
        <f>72+135</f>
        <v>207</v>
      </c>
    </row>
    <row r="274" spans="1:21">
      <c r="A274" s="2">
        <v>1997</v>
      </c>
      <c r="B274" s="2">
        <v>5</v>
      </c>
      <c r="C274" s="16">
        <f t="shared" si="2"/>
        <v>14217</v>
      </c>
      <c r="D274" s="34">
        <f>3946+2919</f>
        <v>6865</v>
      </c>
      <c r="E274" s="34">
        <f>2851+3320</f>
        <v>6171</v>
      </c>
      <c r="F274" s="36">
        <v>5</v>
      </c>
      <c r="G274" s="9">
        <v>0</v>
      </c>
      <c r="H274" s="2">
        <f t="shared" si="4"/>
        <v>5</v>
      </c>
      <c r="I274" s="34">
        <v>14</v>
      </c>
      <c r="J274" s="34">
        <f>299+863</f>
        <v>1162</v>
      </c>
      <c r="N274" s="2">
        <v>1997</v>
      </c>
      <c r="O274" s="2">
        <v>5</v>
      </c>
      <c r="P274" s="19">
        <f t="shared" si="3"/>
        <v>11787</v>
      </c>
      <c r="Q274" s="34">
        <f>5983+4153</f>
        <v>10136</v>
      </c>
      <c r="R274" s="34">
        <f>518+906</f>
        <v>1424</v>
      </c>
      <c r="S274" s="34">
        <v>3</v>
      </c>
      <c r="T274" s="34">
        <v>18</v>
      </c>
      <c r="U274" s="34">
        <f>72+134</f>
        <v>206</v>
      </c>
    </row>
    <row r="275" spans="1:21">
      <c r="A275" s="2">
        <v>1997</v>
      </c>
      <c r="B275" s="2">
        <v>6</v>
      </c>
      <c r="C275" s="16">
        <f t="shared" ref="C275:C338" si="5">SUM(D275:F275,I275:J275)</f>
        <v>18046</v>
      </c>
      <c r="D275" s="34">
        <f>ROUND(5041.8+4077.2,0)</f>
        <v>9119</v>
      </c>
      <c r="E275" s="9">
        <f>ROUND(3447.4+3935,0)</f>
        <v>7382</v>
      </c>
      <c r="F275" s="9">
        <f>ROUND(6,0)</f>
        <v>6</v>
      </c>
      <c r="G275" s="9">
        <v>0</v>
      </c>
      <c r="H275" s="2">
        <f t="shared" si="4"/>
        <v>6</v>
      </c>
      <c r="I275" s="9">
        <f>ROUND(14,0)</f>
        <v>14</v>
      </c>
      <c r="J275" s="9">
        <f>ROUND(429.7+1095,0)</f>
        <v>1525</v>
      </c>
      <c r="N275" s="2">
        <v>1997</v>
      </c>
      <c r="O275" s="2">
        <v>6</v>
      </c>
      <c r="P275" s="19">
        <f t="shared" ref="P275:P294" si="6">SUM(Q275:U275)</f>
        <v>11813</v>
      </c>
      <c r="Q275" s="34">
        <f>6059+4184</f>
        <v>10243</v>
      </c>
      <c r="R275" s="34">
        <f>516+829</f>
        <v>1345</v>
      </c>
      <c r="S275" s="34">
        <v>2</v>
      </c>
      <c r="T275" s="34">
        <v>18</v>
      </c>
      <c r="U275" s="34">
        <f>72+133</f>
        <v>205</v>
      </c>
    </row>
    <row r="276" spans="1:21">
      <c r="A276" s="2">
        <v>1997</v>
      </c>
      <c r="B276" s="2">
        <v>7</v>
      </c>
      <c r="C276" s="16">
        <f t="shared" si="5"/>
        <v>18077</v>
      </c>
      <c r="D276" s="34">
        <f>5194+4127</f>
        <v>9321</v>
      </c>
      <c r="E276" s="9">
        <f>3250+4117</f>
        <v>7367</v>
      </c>
      <c r="F276" s="9">
        <v>5</v>
      </c>
      <c r="G276" s="9">
        <v>0</v>
      </c>
      <c r="H276" s="2">
        <f t="shared" si="4"/>
        <v>5</v>
      </c>
      <c r="I276" s="9">
        <v>14</v>
      </c>
      <c r="J276" s="9">
        <f>359+1011</f>
        <v>1370</v>
      </c>
      <c r="N276" s="2">
        <v>1997</v>
      </c>
      <c r="O276" s="2">
        <v>7</v>
      </c>
      <c r="P276" s="19">
        <f t="shared" si="6"/>
        <v>10718</v>
      </c>
      <c r="Q276" s="34">
        <f>5216+3901</f>
        <v>9117</v>
      </c>
      <c r="R276" s="34">
        <f>490+889</f>
        <v>1379</v>
      </c>
      <c r="S276" s="34">
        <v>2</v>
      </c>
      <c r="T276" s="34">
        <v>18</v>
      </c>
      <c r="U276" s="34">
        <f>72+130</f>
        <v>202</v>
      </c>
    </row>
    <row r="277" spans="1:21">
      <c r="A277" s="2">
        <v>1997</v>
      </c>
      <c r="B277" s="2">
        <v>8</v>
      </c>
      <c r="C277" s="16">
        <f t="shared" si="5"/>
        <v>19666</v>
      </c>
      <c r="D277" s="34">
        <f>4840+4735</f>
        <v>9575</v>
      </c>
      <c r="E277" s="9">
        <f>3366+4901</f>
        <v>8267</v>
      </c>
      <c r="F277" s="9">
        <f>6</f>
        <v>6</v>
      </c>
      <c r="G277" s="9">
        <v>0</v>
      </c>
      <c r="H277" s="2">
        <f t="shared" si="4"/>
        <v>6</v>
      </c>
      <c r="I277" s="9">
        <v>14</v>
      </c>
      <c r="J277" s="9">
        <f>428+1376</f>
        <v>1804</v>
      </c>
      <c r="N277" s="2">
        <v>1997</v>
      </c>
      <c r="O277" s="2">
        <v>8</v>
      </c>
      <c r="P277" s="19">
        <f t="shared" si="6"/>
        <v>11557</v>
      </c>
      <c r="Q277" s="34">
        <f>5341+4440</f>
        <v>9781</v>
      </c>
      <c r="R277" s="34">
        <f>524+1003</f>
        <v>1527</v>
      </c>
      <c r="S277" s="34">
        <v>2</v>
      </c>
      <c r="T277" s="34">
        <v>18</v>
      </c>
      <c r="U277" s="34">
        <f>74+155</f>
        <v>229</v>
      </c>
    </row>
    <row r="278" spans="1:21">
      <c r="A278" s="2">
        <v>1997</v>
      </c>
      <c r="B278" s="2">
        <v>9</v>
      </c>
      <c r="C278" s="16">
        <f t="shared" si="5"/>
        <v>19370</v>
      </c>
      <c r="D278" s="34">
        <f>5378+4568</f>
        <v>9946</v>
      </c>
      <c r="E278" s="9">
        <f>3374+4411</f>
        <v>7785</v>
      </c>
      <c r="F278" s="9">
        <v>7</v>
      </c>
      <c r="G278" s="9">
        <v>0</v>
      </c>
      <c r="H278" s="2">
        <f t="shared" si="4"/>
        <v>7</v>
      </c>
      <c r="I278" s="9">
        <v>14</v>
      </c>
      <c r="J278" s="9">
        <f>462+1156</f>
        <v>1618</v>
      </c>
      <c r="N278" s="2">
        <v>1997</v>
      </c>
      <c r="O278" s="2">
        <v>9</v>
      </c>
      <c r="P278" s="19">
        <f t="shared" si="6"/>
        <v>11616</v>
      </c>
      <c r="Q278" s="34">
        <f>5856+4107</f>
        <v>9963</v>
      </c>
      <c r="R278" s="34">
        <f>514+911</f>
        <v>1425</v>
      </c>
      <c r="S278" s="34">
        <v>2</v>
      </c>
      <c r="T278" s="34">
        <v>18</v>
      </c>
      <c r="U278" s="34">
        <f>73+135</f>
        <v>208</v>
      </c>
    </row>
    <row r="279" spans="1:21">
      <c r="A279" s="2">
        <v>1997</v>
      </c>
      <c r="B279" s="2">
        <v>10</v>
      </c>
      <c r="C279" s="16">
        <f t="shared" si="5"/>
        <v>17927</v>
      </c>
      <c r="D279" s="34">
        <f>5048+3869</f>
        <v>8917</v>
      </c>
      <c r="E279" s="9">
        <f>3310+4237</f>
        <v>7547</v>
      </c>
      <c r="F279" s="9">
        <v>6</v>
      </c>
      <c r="G279" s="9">
        <v>0</v>
      </c>
      <c r="H279" s="2">
        <f t="shared" si="4"/>
        <v>6</v>
      </c>
      <c r="I279" s="9">
        <v>14</v>
      </c>
      <c r="J279" s="9">
        <f>436+1007</f>
        <v>1443</v>
      </c>
      <c r="N279" s="2">
        <v>1997</v>
      </c>
      <c r="O279" s="2">
        <v>10</v>
      </c>
      <c r="P279" s="19">
        <f t="shared" si="6"/>
        <v>11752</v>
      </c>
      <c r="Q279" s="34">
        <f>5972+4124</f>
        <v>10096</v>
      </c>
      <c r="R279" s="9">
        <f>520+908</f>
        <v>1428</v>
      </c>
      <c r="S279" s="9">
        <v>2</v>
      </c>
      <c r="T279" s="9">
        <v>18</v>
      </c>
      <c r="U279" s="9">
        <f>72+136</f>
        <v>208</v>
      </c>
    </row>
    <row r="280" spans="1:21">
      <c r="A280" s="2">
        <v>1997</v>
      </c>
      <c r="B280" s="2">
        <v>11</v>
      </c>
      <c r="C280" s="16">
        <f t="shared" si="5"/>
        <v>14905</v>
      </c>
      <c r="D280" s="34">
        <f>3963+2908</f>
        <v>6871</v>
      </c>
      <c r="E280" s="9">
        <f>3002+3644</f>
        <v>6646</v>
      </c>
      <c r="F280" s="9">
        <v>6</v>
      </c>
      <c r="G280" s="9">
        <v>0</v>
      </c>
      <c r="H280" s="2">
        <f t="shared" si="4"/>
        <v>6</v>
      </c>
      <c r="I280" s="9">
        <v>14</v>
      </c>
      <c r="J280" s="9">
        <f>358+1010</f>
        <v>1368</v>
      </c>
      <c r="N280" s="2">
        <v>1997</v>
      </c>
      <c r="O280" s="2">
        <v>11</v>
      </c>
      <c r="P280" s="19">
        <f t="shared" si="6"/>
        <v>12371</v>
      </c>
      <c r="Q280" s="34">
        <f>6504+4201</f>
        <v>10705</v>
      </c>
      <c r="R280" s="9">
        <f>522+908</f>
        <v>1430</v>
      </c>
      <c r="S280" s="9">
        <v>2</v>
      </c>
      <c r="T280" s="9">
        <v>18</v>
      </c>
      <c r="U280" s="9">
        <f>72+144</f>
        <v>216</v>
      </c>
    </row>
    <row r="281" spans="1:21">
      <c r="A281" s="2">
        <v>1997</v>
      </c>
      <c r="B281" s="2">
        <v>12</v>
      </c>
      <c r="C281" s="16">
        <f t="shared" si="5"/>
        <v>15348</v>
      </c>
      <c r="D281" s="34">
        <f>4634+3118</f>
        <v>7752</v>
      </c>
      <c r="E281" s="9">
        <f>2087+4246</f>
        <v>6333</v>
      </c>
      <c r="F281" s="9">
        <v>5</v>
      </c>
      <c r="G281" s="9">
        <v>0</v>
      </c>
      <c r="H281" s="2">
        <f t="shared" si="4"/>
        <v>5</v>
      </c>
      <c r="I281" s="9">
        <v>14</v>
      </c>
      <c r="J281" s="9">
        <f>352+892</f>
        <v>1244</v>
      </c>
      <c r="N281" s="2">
        <v>1997</v>
      </c>
      <c r="O281" s="2">
        <v>12</v>
      </c>
      <c r="P281" s="19">
        <f t="shared" si="6"/>
        <v>12743</v>
      </c>
      <c r="Q281" s="34">
        <f>6801+4269</f>
        <v>11070</v>
      </c>
      <c r="R281" s="9">
        <f>393+1044</f>
        <v>1437</v>
      </c>
      <c r="S281" s="9">
        <v>2</v>
      </c>
      <c r="T281" s="9">
        <v>18</v>
      </c>
      <c r="U281" s="9">
        <f>67+149</f>
        <v>216</v>
      </c>
    </row>
    <row r="282" spans="1:21">
      <c r="A282" s="2">
        <v>1998</v>
      </c>
      <c r="B282" s="2">
        <v>1</v>
      </c>
      <c r="C282" s="16">
        <f t="shared" si="5"/>
        <v>17752</v>
      </c>
      <c r="D282" s="9">
        <f>6076+3817</f>
        <v>9893</v>
      </c>
      <c r="E282" s="9">
        <f>2221+4450</f>
        <v>6671</v>
      </c>
      <c r="F282" s="9">
        <v>4</v>
      </c>
      <c r="G282" s="9">
        <v>0</v>
      </c>
      <c r="H282" s="2">
        <f t="shared" si="4"/>
        <v>4</v>
      </c>
      <c r="I282" s="9">
        <v>14</v>
      </c>
      <c r="J282" s="9">
        <f>320+850</f>
        <v>1170</v>
      </c>
      <c r="K282" s="9"/>
      <c r="N282" s="2">
        <v>1998</v>
      </c>
      <c r="O282" s="2">
        <v>1</v>
      </c>
      <c r="P282" s="19">
        <f t="shared" si="6"/>
        <v>13008</v>
      </c>
      <c r="Q282" s="9">
        <f>7029+4307</f>
        <v>11336</v>
      </c>
      <c r="R282" s="9">
        <f>396+1046</f>
        <v>1442</v>
      </c>
      <c r="S282" s="9">
        <v>2</v>
      </c>
      <c r="T282" s="9">
        <v>18</v>
      </c>
      <c r="U282" s="9">
        <f>67+143</f>
        <v>210</v>
      </c>
    </row>
    <row r="283" spans="1:21">
      <c r="A283" s="2">
        <v>1998</v>
      </c>
      <c r="B283" s="2">
        <v>2</v>
      </c>
      <c r="C283" s="16">
        <f t="shared" si="5"/>
        <v>16258</v>
      </c>
      <c r="D283" s="9">
        <f>5992+3569</f>
        <v>9561</v>
      </c>
      <c r="E283" s="9">
        <f>1748+3741</f>
        <v>5489</v>
      </c>
      <c r="F283" s="9">
        <v>6</v>
      </c>
      <c r="G283" s="9">
        <v>0</v>
      </c>
      <c r="H283" s="2">
        <f t="shared" si="4"/>
        <v>6</v>
      </c>
      <c r="I283" s="9">
        <v>14</v>
      </c>
      <c r="J283" s="9">
        <f>321+867</f>
        <v>1188</v>
      </c>
      <c r="K283" s="9"/>
      <c r="N283" s="2">
        <v>1998</v>
      </c>
      <c r="O283" s="2">
        <v>2</v>
      </c>
      <c r="P283" s="19">
        <f t="shared" si="6"/>
        <v>13099</v>
      </c>
      <c r="Q283" s="9">
        <f>7082+4334</f>
        <v>11416</v>
      </c>
      <c r="R283" s="9">
        <f>405+1044</f>
        <v>1449</v>
      </c>
      <c r="S283" s="9">
        <v>2</v>
      </c>
      <c r="T283" s="9">
        <v>18</v>
      </c>
      <c r="U283" s="9">
        <f>67+147</f>
        <v>214</v>
      </c>
    </row>
    <row r="284" spans="1:21">
      <c r="A284" s="2">
        <v>1998</v>
      </c>
      <c r="B284" s="2">
        <v>3</v>
      </c>
      <c r="C284" s="16">
        <f t="shared" si="5"/>
        <v>15816</v>
      </c>
      <c r="D284" s="9">
        <f>5102+3270</f>
        <v>8372</v>
      </c>
      <c r="E284" s="9">
        <f>1990+4094</f>
        <v>6084</v>
      </c>
      <c r="F284" s="9">
        <v>6</v>
      </c>
      <c r="G284" s="9">
        <v>0</v>
      </c>
      <c r="H284" s="2">
        <f t="shared" si="4"/>
        <v>6</v>
      </c>
      <c r="I284" s="9">
        <v>14</v>
      </c>
      <c r="J284" s="9">
        <f>329+1011</f>
        <v>1340</v>
      </c>
      <c r="K284" s="9"/>
      <c r="N284" s="2">
        <v>1998</v>
      </c>
      <c r="O284" s="2">
        <v>3</v>
      </c>
      <c r="P284" s="19">
        <f t="shared" si="6"/>
        <v>13081</v>
      </c>
      <c r="Q284" s="9">
        <f>7081+4319</f>
        <v>11400</v>
      </c>
      <c r="R284" s="9">
        <f>404+1044</f>
        <v>1448</v>
      </c>
      <c r="S284" s="9">
        <v>2</v>
      </c>
      <c r="T284" s="9">
        <v>18</v>
      </c>
      <c r="U284" s="9">
        <f>65+148</f>
        <v>213</v>
      </c>
    </row>
    <row r="285" spans="1:21">
      <c r="A285" s="2">
        <v>1998</v>
      </c>
      <c r="B285" s="2">
        <v>4</v>
      </c>
      <c r="C285" s="16">
        <f t="shared" si="5"/>
        <v>16130</v>
      </c>
      <c r="D285" s="9">
        <f>5044+3062</f>
        <v>8106</v>
      </c>
      <c r="E285" s="9">
        <f>2165+4492</f>
        <v>6657</v>
      </c>
      <c r="F285" s="9">
        <v>6</v>
      </c>
      <c r="G285" s="9">
        <v>0</v>
      </c>
      <c r="H285" s="2">
        <f t="shared" si="4"/>
        <v>6</v>
      </c>
      <c r="I285" s="9">
        <v>14</v>
      </c>
      <c r="J285" s="9">
        <f>313+1034</f>
        <v>1347</v>
      </c>
      <c r="K285" s="9"/>
      <c r="N285" s="2">
        <v>1998</v>
      </c>
      <c r="O285" s="2">
        <v>4</v>
      </c>
      <c r="P285" s="19">
        <f t="shared" si="6"/>
        <v>12693</v>
      </c>
      <c r="Q285" s="9">
        <f>6742+4266</f>
        <v>11008</v>
      </c>
      <c r="R285" s="9">
        <f>403+1047</f>
        <v>1450</v>
      </c>
      <c r="S285" s="9">
        <v>2</v>
      </c>
      <c r="T285" s="9">
        <v>18</v>
      </c>
      <c r="U285" s="9">
        <f>64+151</f>
        <v>215</v>
      </c>
    </row>
    <row r="286" spans="1:21">
      <c r="A286" s="2">
        <v>1998</v>
      </c>
      <c r="B286" s="2">
        <v>5</v>
      </c>
      <c r="C286" s="16">
        <f t="shared" si="5"/>
        <v>15582</v>
      </c>
      <c r="D286" s="9">
        <f>4189+3239</f>
        <v>7428</v>
      </c>
      <c r="E286" s="9">
        <f>2084+4606</f>
        <v>6690</v>
      </c>
      <c r="F286" s="9">
        <v>6</v>
      </c>
      <c r="G286" s="9">
        <v>0</v>
      </c>
      <c r="H286" s="2">
        <f t="shared" si="4"/>
        <v>6</v>
      </c>
      <c r="I286" s="9">
        <v>14</v>
      </c>
      <c r="J286" s="9">
        <f>368+1076</f>
        <v>1444</v>
      </c>
      <c r="K286" s="9"/>
      <c r="N286" s="2">
        <v>1998</v>
      </c>
      <c r="O286" s="2">
        <v>5</v>
      </c>
      <c r="P286" s="19">
        <f t="shared" si="6"/>
        <v>12209</v>
      </c>
      <c r="Q286" s="9">
        <f>6329+4215</f>
        <v>10544</v>
      </c>
      <c r="R286" s="9">
        <f>384+1050</f>
        <v>1434</v>
      </c>
      <c r="S286" s="9">
        <v>2</v>
      </c>
      <c r="T286" s="9">
        <v>18</v>
      </c>
      <c r="U286" s="9">
        <f>65+146</f>
        <v>211</v>
      </c>
    </row>
    <row r="287" spans="1:21">
      <c r="A287" s="2">
        <v>1998</v>
      </c>
      <c r="B287" s="2">
        <v>6</v>
      </c>
      <c r="C287" s="16">
        <f t="shared" si="5"/>
        <v>20753</v>
      </c>
      <c r="D287" s="9">
        <f>5890+4951</f>
        <v>10841</v>
      </c>
      <c r="E287" s="9">
        <f>2485+5682</f>
        <v>8167</v>
      </c>
      <c r="F287" s="9">
        <v>7</v>
      </c>
      <c r="G287" s="9">
        <v>0</v>
      </c>
      <c r="H287" s="2">
        <f t="shared" si="4"/>
        <v>7</v>
      </c>
      <c r="I287" s="9">
        <v>14</v>
      </c>
      <c r="J287" s="9">
        <f>463+1261</f>
        <v>1724</v>
      </c>
      <c r="K287" s="9"/>
      <c r="N287" s="2">
        <v>1998</v>
      </c>
      <c r="O287" s="2">
        <v>6</v>
      </c>
      <c r="P287" s="19">
        <f t="shared" si="6"/>
        <v>12165</v>
      </c>
      <c r="Q287" s="9">
        <f>6315+4183</f>
        <v>10498</v>
      </c>
      <c r="R287" s="9">
        <f>390+1047</f>
        <v>1437</v>
      </c>
      <c r="S287" s="9">
        <v>2</v>
      </c>
      <c r="T287" s="9">
        <v>18</v>
      </c>
      <c r="U287" s="9">
        <f>62+148</f>
        <v>210</v>
      </c>
    </row>
    <row r="288" spans="1:21">
      <c r="A288" s="2">
        <v>1998</v>
      </c>
      <c r="B288" s="2">
        <v>7</v>
      </c>
      <c r="C288" s="16">
        <f t="shared" si="5"/>
        <v>20696</v>
      </c>
      <c r="D288" s="9">
        <f>6313+5026</f>
        <v>11339</v>
      </c>
      <c r="E288" s="9">
        <f>2441+5324</f>
        <v>7765</v>
      </c>
      <c r="F288" s="9">
        <v>8</v>
      </c>
      <c r="G288" s="9">
        <v>0</v>
      </c>
      <c r="H288" s="2">
        <f t="shared" si="4"/>
        <v>8</v>
      </c>
      <c r="I288" s="9">
        <v>14</v>
      </c>
      <c r="J288" s="9">
        <f>423+1147</f>
        <v>1570</v>
      </c>
      <c r="K288" s="9"/>
      <c r="N288" s="2">
        <v>1998</v>
      </c>
      <c r="O288" s="2">
        <v>7</v>
      </c>
      <c r="P288" s="19">
        <f t="shared" si="6"/>
        <v>12100</v>
      </c>
      <c r="Q288" s="9">
        <f>6244+4162</f>
        <v>10406</v>
      </c>
      <c r="R288" s="9">
        <f>389+1071</f>
        <v>1460</v>
      </c>
      <c r="S288" s="9">
        <v>2</v>
      </c>
      <c r="T288" s="9">
        <v>18</v>
      </c>
      <c r="U288" s="9">
        <f>64+150</f>
        <v>214</v>
      </c>
    </row>
    <row r="289" spans="1:21">
      <c r="A289" s="2">
        <v>1998</v>
      </c>
      <c r="B289" s="2">
        <v>8</v>
      </c>
      <c r="C289" s="16">
        <f t="shared" si="5"/>
        <v>20211</v>
      </c>
      <c r="D289" s="9">
        <f>5719+4866</f>
        <v>10585</v>
      </c>
      <c r="E289" s="9">
        <f>2591+5478</f>
        <v>8069</v>
      </c>
      <c r="F289" s="9">
        <v>9</v>
      </c>
      <c r="G289" s="9">
        <v>0</v>
      </c>
      <c r="H289" s="2">
        <f t="shared" si="4"/>
        <v>9</v>
      </c>
      <c r="I289" s="9">
        <v>13</v>
      </c>
      <c r="J289" s="9">
        <f>388+1147</f>
        <v>1535</v>
      </c>
      <c r="K289" s="9"/>
      <c r="N289" s="2">
        <v>1998</v>
      </c>
      <c r="O289" s="2">
        <v>8</v>
      </c>
      <c r="P289" s="19">
        <f t="shared" si="6"/>
        <v>12063</v>
      </c>
      <c r="Q289" s="9">
        <f>6218+4164</f>
        <v>10382</v>
      </c>
      <c r="R289" s="9">
        <f>386+1056</f>
        <v>1442</v>
      </c>
      <c r="S289" s="9">
        <v>2</v>
      </c>
      <c r="T289" s="9">
        <v>18</v>
      </c>
      <c r="U289" s="9">
        <f>62+157</f>
        <v>219</v>
      </c>
    </row>
    <row r="290" spans="1:21">
      <c r="A290" s="2">
        <v>1998</v>
      </c>
      <c r="B290" s="2">
        <v>9</v>
      </c>
      <c r="C290" s="16">
        <f t="shared" si="5"/>
        <v>20580</v>
      </c>
      <c r="D290" s="9">
        <f>5958+4745</f>
        <v>10703</v>
      </c>
      <c r="E290" s="9">
        <f>2470+5624</f>
        <v>8094</v>
      </c>
      <c r="F290" s="9">
        <v>8</v>
      </c>
      <c r="G290" s="9">
        <v>0</v>
      </c>
      <c r="H290" s="2">
        <f t="shared" si="4"/>
        <v>8</v>
      </c>
      <c r="I290" s="9">
        <v>14</v>
      </c>
      <c r="J290" s="9">
        <f>483+1278</f>
        <v>1761</v>
      </c>
      <c r="K290" s="9"/>
      <c r="N290" s="2">
        <v>1998</v>
      </c>
      <c r="O290" s="2">
        <v>9</v>
      </c>
      <c r="P290" s="19">
        <f t="shared" si="6"/>
        <v>12009</v>
      </c>
      <c r="Q290" s="9">
        <f>6214+4122</f>
        <v>10336</v>
      </c>
      <c r="R290" s="9">
        <f>388+1047</f>
        <v>1435</v>
      </c>
      <c r="S290" s="9">
        <v>2</v>
      </c>
      <c r="T290" s="9">
        <v>18</v>
      </c>
      <c r="U290" s="9">
        <f>64+154</f>
        <v>218</v>
      </c>
    </row>
    <row r="291" spans="1:21">
      <c r="A291" s="2">
        <v>1998</v>
      </c>
      <c r="B291" s="2">
        <v>10</v>
      </c>
      <c r="C291" s="16">
        <f t="shared" si="5"/>
        <v>19120</v>
      </c>
      <c r="D291" s="9">
        <f>5407+4337</f>
        <v>9744</v>
      </c>
      <c r="E291" s="9">
        <f>2385+5328</f>
        <v>7713</v>
      </c>
      <c r="F291" s="9">
        <v>8</v>
      </c>
      <c r="G291" s="9">
        <v>0</v>
      </c>
      <c r="H291" s="2">
        <f t="shared" si="4"/>
        <v>8</v>
      </c>
      <c r="I291" s="9">
        <v>14</v>
      </c>
      <c r="J291" s="9">
        <f>491+1150</f>
        <v>1641</v>
      </c>
      <c r="N291" s="2">
        <v>1998</v>
      </c>
      <c r="O291" s="2">
        <v>10</v>
      </c>
      <c r="P291" s="19">
        <f t="shared" si="6"/>
        <v>12130</v>
      </c>
      <c r="Q291" s="9">
        <f>6291+4157</f>
        <v>10448</v>
      </c>
      <c r="R291" s="9">
        <f>398+1047</f>
        <v>1445</v>
      </c>
      <c r="S291" s="9">
        <v>2</v>
      </c>
      <c r="T291" s="9">
        <v>18</v>
      </c>
      <c r="U291" s="9">
        <f>64+153</f>
        <v>217</v>
      </c>
    </row>
    <row r="292" spans="1:21">
      <c r="A292" s="2">
        <v>1998</v>
      </c>
      <c r="B292" s="2">
        <v>11</v>
      </c>
      <c r="C292" s="16">
        <f t="shared" si="5"/>
        <v>15008</v>
      </c>
      <c r="D292" s="9">
        <f>3923+2983</f>
        <v>6906</v>
      </c>
      <c r="E292" s="9">
        <f>2237+4436</f>
        <v>6673</v>
      </c>
      <c r="F292" s="9">
        <v>7</v>
      </c>
      <c r="G292" s="9">
        <v>0</v>
      </c>
      <c r="H292" s="2">
        <f t="shared" si="4"/>
        <v>7</v>
      </c>
      <c r="I292" s="9">
        <v>14</v>
      </c>
      <c r="J292" s="9">
        <f>391+1017</f>
        <v>1408</v>
      </c>
      <c r="N292" s="2">
        <v>1998</v>
      </c>
      <c r="O292" s="2">
        <v>11</v>
      </c>
      <c r="P292" s="19">
        <f t="shared" si="6"/>
        <v>12185</v>
      </c>
      <c r="Q292" s="9">
        <f>6561+3941</f>
        <v>10502</v>
      </c>
      <c r="R292" s="9">
        <f>405+1044</f>
        <v>1449</v>
      </c>
      <c r="S292" s="9">
        <v>2</v>
      </c>
      <c r="T292" s="9">
        <v>18</v>
      </c>
      <c r="U292" s="9">
        <f>64+150</f>
        <v>214</v>
      </c>
    </row>
    <row r="293" spans="1:21">
      <c r="A293" s="2">
        <v>1998</v>
      </c>
      <c r="B293" s="2">
        <v>12</v>
      </c>
      <c r="C293" s="16">
        <f t="shared" si="5"/>
        <v>16870</v>
      </c>
      <c r="D293" s="9">
        <f>4658+3224</f>
        <v>7882</v>
      </c>
      <c r="E293" s="9">
        <f>2353+5067</f>
        <v>7420</v>
      </c>
      <c r="F293" s="9">
        <v>6</v>
      </c>
      <c r="G293" s="9">
        <v>0</v>
      </c>
      <c r="H293" s="2">
        <f t="shared" si="4"/>
        <v>6</v>
      </c>
      <c r="I293" s="9">
        <v>14</v>
      </c>
      <c r="J293" s="9">
        <f>400+1148</f>
        <v>1548</v>
      </c>
      <c r="N293" s="2">
        <v>1998</v>
      </c>
      <c r="O293" s="2">
        <v>12</v>
      </c>
      <c r="P293" s="19">
        <f t="shared" si="6"/>
        <v>12752</v>
      </c>
      <c r="Q293" s="9">
        <f>6818+4231</f>
        <v>11049</v>
      </c>
      <c r="R293" s="9">
        <f>409+1057</f>
        <v>1466</v>
      </c>
      <c r="S293" s="9">
        <v>2</v>
      </c>
      <c r="T293" s="9">
        <v>18</v>
      </c>
      <c r="U293" s="9">
        <f>64+153</f>
        <v>217</v>
      </c>
    </row>
    <row r="294" spans="1:21">
      <c r="A294" s="2">
        <v>1999</v>
      </c>
      <c r="B294" s="2">
        <v>1</v>
      </c>
      <c r="C294" s="16">
        <f t="shared" si="5"/>
        <v>17889</v>
      </c>
      <c r="D294" s="9">
        <f>6108+3863</f>
        <v>9971</v>
      </c>
      <c r="E294" s="9">
        <f>2212+4319</f>
        <v>6531</v>
      </c>
      <c r="F294" s="9">
        <v>6</v>
      </c>
      <c r="G294" s="9">
        <v>0</v>
      </c>
      <c r="H294" s="2">
        <f t="shared" si="4"/>
        <v>6</v>
      </c>
      <c r="I294" s="9">
        <v>14</v>
      </c>
      <c r="J294" s="9">
        <f>335+1032</f>
        <v>1367</v>
      </c>
      <c r="N294" s="2">
        <v>1999</v>
      </c>
      <c r="O294" s="2">
        <v>1</v>
      </c>
      <c r="P294" s="19">
        <f t="shared" si="6"/>
        <v>12977</v>
      </c>
      <c r="Q294" s="9">
        <f>7009+4262</f>
        <v>11271</v>
      </c>
      <c r="R294" s="9">
        <f>414+1053</f>
        <v>1467</v>
      </c>
      <c r="S294" s="9">
        <v>2</v>
      </c>
      <c r="T294" s="9">
        <v>18</v>
      </c>
      <c r="U294" s="9">
        <f>64+155</f>
        <v>219</v>
      </c>
    </row>
    <row r="295" spans="1:21">
      <c r="A295" s="2">
        <v>1999</v>
      </c>
      <c r="B295" s="2">
        <v>2</v>
      </c>
      <c r="C295" s="16">
        <f t="shared" si="5"/>
        <v>14375</v>
      </c>
      <c r="D295" s="9">
        <f>4128+2702</f>
        <v>6830</v>
      </c>
      <c r="E295" s="9">
        <f>2017+4170</f>
        <v>6187</v>
      </c>
      <c r="F295" s="9">
        <v>7</v>
      </c>
      <c r="G295" s="9">
        <v>0</v>
      </c>
      <c r="H295" s="2">
        <f t="shared" si="4"/>
        <v>7</v>
      </c>
      <c r="I295" s="9">
        <v>14</v>
      </c>
      <c r="J295" s="9">
        <f>347+990</f>
        <v>1337</v>
      </c>
      <c r="N295" s="2">
        <v>1999</v>
      </c>
      <c r="O295" s="2">
        <v>2</v>
      </c>
      <c r="P295" s="19">
        <f t="shared" ref="P295:P369" si="7">SUM(Q295:U295)</f>
        <v>13066</v>
      </c>
      <c r="Q295" s="9">
        <f>7082+4278</f>
        <v>11360</v>
      </c>
      <c r="R295" s="9">
        <f>410+1058</f>
        <v>1468</v>
      </c>
      <c r="S295" s="9">
        <v>2</v>
      </c>
      <c r="T295" s="9">
        <v>18</v>
      </c>
      <c r="U295" s="9">
        <f>64+154</f>
        <v>218</v>
      </c>
    </row>
    <row r="296" spans="1:21">
      <c r="A296" s="2">
        <v>1999</v>
      </c>
      <c r="B296" s="2">
        <v>3</v>
      </c>
      <c r="C296" s="16">
        <f t="shared" si="5"/>
        <v>16326</v>
      </c>
      <c r="D296" s="9">
        <f>5526+3263</f>
        <v>8789</v>
      </c>
      <c r="E296" s="9">
        <f>2027+4006</f>
        <v>6033</v>
      </c>
      <c r="F296" s="9">
        <v>8</v>
      </c>
      <c r="G296" s="9">
        <v>0</v>
      </c>
      <c r="H296" s="2">
        <f t="shared" si="4"/>
        <v>8</v>
      </c>
      <c r="I296" s="9">
        <v>14</v>
      </c>
      <c r="J296" s="9">
        <f>376+1106</f>
        <v>1482</v>
      </c>
      <c r="N296" s="2">
        <v>1999</v>
      </c>
      <c r="O296" s="2">
        <v>3</v>
      </c>
      <c r="P296" s="19">
        <f t="shared" si="7"/>
        <v>13086</v>
      </c>
      <c r="Q296" s="9">
        <f>7096+4297</f>
        <v>11393</v>
      </c>
      <c r="R296" s="9">
        <f>408+1045</f>
        <v>1453</v>
      </c>
      <c r="S296" s="9">
        <v>2</v>
      </c>
      <c r="T296" s="9">
        <v>18</v>
      </c>
      <c r="U296" s="9">
        <f>67+153</f>
        <v>220</v>
      </c>
    </row>
    <row r="297" spans="1:21">
      <c r="A297" s="2">
        <v>1999</v>
      </c>
      <c r="B297" s="2">
        <v>4</v>
      </c>
      <c r="C297" s="16">
        <f t="shared" si="5"/>
        <v>16528</v>
      </c>
      <c r="D297" s="9">
        <f>4952+3216</f>
        <v>8168</v>
      </c>
      <c r="E297" s="9">
        <f>2230+4618</f>
        <v>6848</v>
      </c>
      <c r="F297" s="9">
        <v>9</v>
      </c>
      <c r="G297" s="9">
        <v>0</v>
      </c>
      <c r="H297" s="2">
        <f t="shared" si="4"/>
        <v>9</v>
      </c>
      <c r="I297" s="9">
        <v>14</v>
      </c>
      <c r="J297" s="9">
        <f>338+1151</f>
        <v>1489</v>
      </c>
      <c r="N297" s="2">
        <v>1999</v>
      </c>
      <c r="O297" s="2">
        <v>4</v>
      </c>
      <c r="P297" s="19">
        <f t="shared" si="7"/>
        <v>12787</v>
      </c>
      <c r="Q297" s="9">
        <f>6835+4240</f>
        <v>11075</v>
      </c>
      <c r="R297" s="9">
        <f>408+1054</f>
        <v>1462</v>
      </c>
      <c r="S297" s="9">
        <v>2</v>
      </c>
      <c r="T297" s="9">
        <v>18</v>
      </c>
      <c r="U297" s="9">
        <f>68+162</f>
        <v>230</v>
      </c>
    </row>
    <row r="298" spans="1:21">
      <c r="A298" s="2">
        <v>1999</v>
      </c>
      <c r="B298" s="2">
        <v>5</v>
      </c>
      <c r="C298" s="16">
        <f t="shared" si="5"/>
        <v>16460</v>
      </c>
      <c r="D298" s="9">
        <f>4731+3235</f>
        <v>7966</v>
      </c>
      <c r="E298" s="9">
        <f>2164+4768</f>
        <v>6932</v>
      </c>
      <c r="F298" s="9">
        <v>9</v>
      </c>
      <c r="G298" s="9">
        <v>0</v>
      </c>
      <c r="H298" s="2">
        <f t="shared" si="4"/>
        <v>9</v>
      </c>
      <c r="I298" s="9">
        <v>14</v>
      </c>
      <c r="J298" s="9">
        <f>394+1145</f>
        <v>1539</v>
      </c>
      <c r="N298" s="2">
        <v>1999</v>
      </c>
      <c r="O298" s="2">
        <v>5</v>
      </c>
      <c r="P298" s="19">
        <f t="shared" si="7"/>
        <v>12393</v>
      </c>
      <c r="Q298" s="9">
        <f>6516+4200</f>
        <v>10716</v>
      </c>
      <c r="R298" s="9">
        <f>384+1051</f>
        <v>1435</v>
      </c>
      <c r="S298" s="9">
        <v>2</v>
      </c>
      <c r="T298" s="9">
        <v>18</v>
      </c>
      <c r="U298" s="9">
        <f>68+154</f>
        <v>222</v>
      </c>
    </row>
    <row r="299" spans="1:21">
      <c r="A299" s="2">
        <v>1999</v>
      </c>
      <c r="B299" s="2">
        <v>6</v>
      </c>
      <c r="C299" s="16">
        <f t="shared" si="5"/>
        <v>17431</v>
      </c>
      <c r="D299" s="9">
        <f>4831+3893</f>
        <v>8724</v>
      </c>
      <c r="E299" s="9">
        <f>2218+4829</f>
        <v>7047</v>
      </c>
      <c r="F299" s="9">
        <f>10+38</f>
        <v>48</v>
      </c>
      <c r="G299" s="9">
        <v>0</v>
      </c>
      <c r="H299" s="2">
        <f t="shared" si="4"/>
        <v>48</v>
      </c>
      <c r="I299" s="9">
        <v>14</v>
      </c>
      <c r="J299" s="9">
        <f>430+1168</f>
        <v>1598</v>
      </c>
      <c r="N299" s="2">
        <v>1999</v>
      </c>
      <c r="O299" s="2">
        <v>6</v>
      </c>
      <c r="P299" s="19">
        <f t="shared" si="7"/>
        <v>11983</v>
      </c>
      <c r="Q299" s="9">
        <f>6469+3860</f>
        <v>10329</v>
      </c>
      <c r="R299" s="9">
        <f>380+1037</f>
        <v>1417</v>
      </c>
      <c r="S299" s="9">
        <f>2+2</f>
        <v>4</v>
      </c>
      <c r="T299" s="9">
        <v>18</v>
      </c>
      <c r="U299" s="9">
        <f>68+147</f>
        <v>215</v>
      </c>
    </row>
    <row r="300" spans="1:21">
      <c r="A300" s="2">
        <v>1999</v>
      </c>
      <c r="B300" s="2">
        <v>7</v>
      </c>
      <c r="C300" s="16">
        <f t="shared" si="5"/>
        <v>19088</v>
      </c>
      <c r="D300" s="9">
        <f>5292+4308</f>
        <v>9600</v>
      </c>
      <c r="E300" s="9">
        <f>2471+5355</f>
        <v>7826</v>
      </c>
      <c r="F300" s="9">
        <v>53</v>
      </c>
      <c r="G300" s="9">
        <v>0</v>
      </c>
      <c r="H300" s="2">
        <f t="shared" si="4"/>
        <v>53</v>
      </c>
      <c r="I300" s="9">
        <v>14</v>
      </c>
      <c r="J300" s="9">
        <f>389+1206</f>
        <v>1595</v>
      </c>
      <c r="N300" s="2">
        <v>1999</v>
      </c>
      <c r="O300" s="2">
        <v>7</v>
      </c>
      <c r="P300" s="19">
        <f t="shared" si="7"/>
        <v>12295</v>
      </c>
      <c r="Q300" s="9">
        <f>6429+4184</f>
        <v>10613</v>
      </c>
      <c r="R300" s="9">
        <f>385+1054</f>
        <v>1439</v>
      </c>
      <c r="S300" s="9">
        <v>4</v>
      </c>
      <c r="T300" s="9">
        <v>18</v>
      </c>
      <c r="U300" s="9">
        <f>68+153</f>
        <v>221</v>
      </c>
    </row>
    <row r="301" spans="1:21">
      <c r="A301" s="2">
        <v>1999</v>
      </c>
      <c r="B301" s="2">
        <v>8</v>
      </c>
      <c r="C301" s="16">
        <f t="shared" si="5"/>
        <v>21197</v>
      </c>
      <c r="D301" s="9">
        <f>6130+5081</f>
        <v>11211</v>
      </c>
      <c r="E301" s="9">
        <f>2518+5636</f>
        <v>8154</v>
      </c>
      <c r="F301" s="9">
        <f>10+45</f>
        <v>55</v>
      </c>
      <c r="G301" s="9">
        <v>0</v>
      </c>
      <c r="H301" s="2">
        <f t="shared" si="4"/>
        <v>55</v>
      </c>
      <c r="I301" s="9">
        <v>12</v>
      </c>
      <c r="J301" s="9">
        <f>445+1320</f>
        <v>1765</v>
      </c>
      <c r="N301" s="2">
        <v>1999</v>
      </c>
      <c r="O301" s="2">
        <v>8</v>
      </c>
      <c r="P301" s="19">
        <f t="shared" si="7"/>
        <v>12266</v>
      </c>
      <c r="Q301" s="9">
        <f>6433+4165</f>
        <v>10598</v>
      </c>
      <c r="R301" s="9">
        <f>380+1046</f>
        <v>1426</v>
      </c>
      <c r="S301" s="9">
        <v>4</v>
      </c>
      <c r="T301" s="9">
        <v>18</v>
      </c>
      <c r="U301" s="9">
        <f>67+153</f>
        <v>220</v>
      </c>
    </row>
    <row r="302" spans="1:21">
      <c r="A302" s="2">
        <v>1999</v>
      </c>
      <c r="B302" s="2">
        <v>9</v>
      </c>
      <c r="C302" s="16">
        <f t="shared" si="5"/>
        <v>20165</v>
      </c>
      <c r="D302" s="9">
        <f>5820+4635</f>
        <v>10455</v>
      </c>
      <c r="E302" s="9">
        <f>2442+5490</f>
        <v>7932</v>
      </c>
      <c r="F302" s="9">
        <f>9+52</f>
        <v>61</v>
      </c>
      <c r="G302" s="9">
        <v>0</v>
      </c>
      <c r="H302" s="2">
        <f t="shared" si="4"/>
        <v>61</v>
      </c>
      <c r="I302" s="9">
        <v>14</v>
      </c>
      <c r="J302" s="9">
        <f>493+1210</f>
        <v>1703</v>
      </c>
      <c r="N302" s="2">
        <v>1999</v>
      </c>
      <c r="O302" s="2">
        <v>9</v>
      </c>
      <c r="P302" s="19">
        <f t="shared" si="7"/>
        <v>12282</v>
      </c>
      <c r="Q302" s="9">
        <f>6440+4172</f>
        <v>10612</v>
      </c>
      <c r="R302" s="9">
        <f>381+1047</f>
        <v>1428</v>
      </c>
      <c r="S302" s="9">
        <v>4</v>
      </c>
      <c r="T302" s="9">
        <v>18</v>
      </c>
      <c r="U302" s="9">
        <f>67+153</f>
        <v>220</v>
      </c>
    </row>
    <row r="303" spans="1:21">
      <c r="A303" s="2">
        <v>1999</v>
      </c>
      <c r="B303" s="2">
        <v>10</v>
      </c>
      <c r="C303" s="16">
        <f t="shared" si="5"/>
        <v>17717</v>
      </c>
      <c r="D303" s="9">
        <f>5050+3839</f>
        <v>8889</v>
      </c>
      <c r="E303" s="9">
        <f>2307+4854</f>
        <v>7161</v>
      </c>
      <c r="F303" s="9">
        <f>8+41</f>
        <v>49</v>
      </c>
      <c r="G303" s="9">
        <v>0</v>
      </c>
      <c r="H303" s="2">
        <f t="shared" si="4"/>
        <v>49</v>
      </c>
      <c r="I303" s="9">
        <f>14+1</f>
        <v>15</v>
      </c>
      <c r="J303" s="9">
        <f>449+1154</f>
        <v>1603</v>
      </c>
      <c r="N303" s="2">
        <v>1999</v>
      </c>
      <c r="O303" s="2">
        <v>10</v>
      </c>
      <c r="P303" s="19">
        <f t="shared" si="7"/>
        <v>12342</v>
      </c>
      <c r="Q303" s="9">
        <f>6474+4179</f>
        <v>10653</v>
      </c>
      <c r="R303" s="9">
        <f>399+1049</f>
        <v>1448</v>
      </c>
      <c r="S303" s="9">
        <v>4</v>
      </c>
      <c r="T303" s="9">
        <f>18+1</f>
        <v>19</v>
      </c>
      <c r="U303" s="9">
        <f>67+151</f>
        <v>218</v>
      </c>
    </row>
    <row r="304" spans="1:21">
      <c r="A304" s="2">
        <v>1999</v>
      </c>
      <c r="B304" s="2">
        <v>11</v>
      </c>
      <c r="C304" s="16">
        <f t="shared" si="5"/>
        <v>15179</v>
      </c>
      <c r="D304" s="9">
        <f>4020+3008</f>
        <v>7028</v>
      </c>
      <c r="E304" s="9">
        <f>2029+4507</f>
        <v>6536</v>
      </c>
      <c r="F304" s="9">
        <f>9+38</f>
        <v>47</v>
      </c>
      <c r="G304" s="9">
        <v>0</v>
      </c>
      <c r="H304" s="2">
        <f t="shared" si="4"/>
        <v>47</v>
      </c>
      <c r="I304" s="9">
        <f>13+2</f>
        <v>15</v>
      </c>
      <c r="J304" s="9">
        <f>398+1155</f>
        <v>1553</v>
      </c>
      <c r="N304" s="2">
        <v>1999</v>
      </c>
      <c r="O304" s="2">
        <v>11</v>
      </c>
      <c r="P304" s="19">
        <f t="shared" si="7"/>
        <v>12587</v>
      </c>
      <c r="Q304" s="9">
        <f>6682+4218</f>
        <v>10900</v>
      </c>
      <c r="R304" s="9">
        <f>398+1048</f>
        <v>1446</v>
      </c>
      <c r="S304" s="9">
        <f>2+2</f>
        <v>4</v>
      </c>
      <c r="T304" s="9">
        <f>17+1</f>
        <v>18</v>
      </c>
      <c r="U304" s="9">
        <f>67+152</f>
        <v>219</v>
      </c>
    </row>
    <row r="305" spans="1:21">
      <c r="A305" s="2">
        <v>1999</v>
      </c>
      <c r="B305" s="2">
        <v>12</v>
      </c>
      <c r="C305" s="16">
        <f t="shared" si="5"/>
        <v>15484</v>
      </c>
      <c r="D305" s="9">
        <f>4484+2880</f>
        <v>7364</v>
      </c>
      <c r="E305" s="9">
        <f>2267+4289</f>
        <v>6556</v>
      </c>
      <c r="F305" s="9">
        <f>9+40</f>
        <v>49</v>
      </c>
      <c r="G305" s="9">
        <v>0</v>
      </c>
      <c r="H305" s="2">
        <f t="shared" si="4"/>
        <v>49</v>
      </c>
      <c r="I305" s="9">
        <f>13+2</f>
        <v>15</v>
      </c>
      <c r="J305" s="9">
        <f>414+1086</f>
        <v>1500</v>
      </c>
      <c r="N305" s="2">
        <v>1999</v>
      </c>
      <c r="O305" s="2">
        <v>12</v>
      </c>
      <c r="P305" s="19">
        <f t="shared" si="7"/>
        <v>12834</v>
      </c>
      <c r="Q305" s="9">
        <f>6905+4226</f>
        <v>11131</v>
      </c>
      <c r="R305" s="9">
        <f>400+1058</f>
        <v>1458</v>
      </c>
      <c r="S305" s="9">
        <v>4</v>
      </c>
      <c r="T305" s="9">
        <f>17+1</f>
        <v>18</v>
      </c>
      <c r="U305" s="9">
        <f>69+154</f>
        <v>223</v>
      </c>
    </row>
    <row r="306" spans="1:21">
      <c r="A306" s="2">
        <v>2000</v>
      </c>
      <c r="B306" s="2">
        <v>1</v>
      </c>
      <c r="C306" s="16">
        <f t="shared" si="5"/>
        <v>15645</v>
      </c>
      <c r="D306" s="9">
        <f>5009+3286</f>
        <v>8295</v>
      </c>
      <c r="E306" s="9">
        <f>1979+3932</f>
        <v>5911</v>
      </c>
      <c r="F306" s="9">
        <f>7+30</f>
        <v>37</v>
      </c>
      <c r="G306" s="9">
        <v>0</v>
      </c>
      <c r="H306" s="2">
        <f t="shared" si="4"/>
        <v>37</v>
      </c>
      <c r="I306" s="9">
        <f>13+1</f>
        <v>14</v>
      </c>
      <c r="J306" s="9">
        <f>299+1089</f>
        <v>1388</v>
      </c>
      <c r="N306" s="2">
        <v>2000</v>
      </c>
      <c r="O306" s="2">
        <v>1</v>
      </c>
      <c r="P306" s="19">
        <f t="shared" si="7"/>
        <v>13016</v>
      </c>
      <c r="Q306" s="9">
        <f>7047+4262</f>
        <v>11309</v>
      </c>
      <c r="R306" s="9">
        <f>407+1058</f>
        <v>1465</v>
      </c>
      <c r="S306" s="9">
        <v>4</v>
      </c>
      <c r="T306" s="9">
        <v>18</v>
      </c>
      <c r="U306" s="9">
        <f>66+154</f>
        <v>220</v>
      </c>
    </row>
    <row r="307" spans="1:21">
      <c r="A307" s="2">
        <v>2000</v>
      </c>
      <c r="B307" s="2">
        <v>2</v>
      </c>
      <c r="C307" s="16">
        <f t="shared" si="5"/>
        <v>20235</v>
      </c>
      <c r="D307" s="9">
        <f>7549+4430</f>
        <v>11979</v>
      </c>
      <c r="E307" s="9">
        <f>2141+4412</f>
        <v>6553</v>
      </c>
      <c r="F307" s="9">
        <f>11+36</f>
        <v>47</v>
      </c>
      <c r="G307" s="9">
        <v>0</v>
      </c>
      <c r="H307" s="2">
        <f t="shared" si="4"/>
        <v>47</v>
      </c>
      <c r="I307" s="9">
        <f>13+1</f>
        <v>14</v>
      </c>
      <c r="J307" s="9">
        <f>424+1218</f>
        <v>1642</v>
      </c>
      <c r="N307" s="2">
        <v>2000</v>
      </c>
      <c r="O307" s="2">
        <v>2</v>
      </c>
      <c r="P307" s="19">
        <f t="shared" si="7"/>
        <v>13100</v>
      </c>
      <c r="Q307" s="9">
        <f>7116+4286</f>
        <v>11402</v>
      </c>
      <c r="R307" s="9">
        <f>409+1051</f>
        <v>1460</v>
      </c>
      <c r="S307" s="9">
        <v>4</v>
      </c>
      <c r="T307" s="9">
        <v>18</v>
      </c>
      <c r="U307" s="9">
        <f>65+151</f>
        <v>216</v>
      </c>
    </row>
    <row r="308" spans="1:21">
      <c r="A308" s="2">
        <v>2000</v>
      </c>
      <c r="B308" s="2">
        <v>3</v>
      </c>
      <c r="C308" s="16">
        <f t="shared" si="5"/>
        <v>14676</v>
      </c>
      <c r="D308" s="9">
        <f>4394+2705</f>
        <v>7099</v>
      </c>
      <c r="E308" s="9">
        <f>1963+4124</f>
        <v>6087</v>
      </c>
      <c r="F308" s="9">
        <f>11+34</f>
        <v>45</v>
      </c>
      <c r="G308" s="9">
        <v>0</v>
      </c>
      <c r="H308" s="2">
        <f t="shared" si="4"/>
        <v>45</v>
      </c>
      <c r="I308" s="9">
        <f>13+1</f>
        <v>14</v>
      </c>
      <c r="J308" s="9">
        <f>340+1091</f>
        <v>1431</v>
      </c>
      <c r="N308" s="2">
        <v>2000</v>
      </c>
      <c r="O308" s="2">
        <v>3</v>
      </c>
      <c r="P308" s="19">
        <f t="shared" si="7"/>
        <v>13124</v>
      </c>
      <c r="Q308" s="9">
        <f>7131+4294</f>
        <v>11425</v>
      </c>
      <c r="R308" s="9">
        <f>410+1052</f>
        <v>1462</v>
      </c>
      <c r="S308" s="9">
        <v>4</v>
      </c>
      <c r="T308" s="9">
        <v>18</v>
      </c>
      <c r="U308" s="9">
        <f>64+151</f>
        <v>215</v>
      </c>
    </row>
    <row r="309" spans="1:21">
      <c r="A309" s="2">
        <v>2000</v>
      </c>
      <c r="B309" s="2">
        <v>4</v>
      </c>
      <c r="C309" s="16">
        <f t="shared" si="5"/>
        <v>15797</v>
      </c>
      <c r="D309" s="9">
        <f>4558+2944</f>
        <v>7502</v>
      </c>
      <c r="E309" s="9">
        <f>2231+4558</f>
        <v>6789</v>
      </c>
      <c r="F309" s="9">
        <f>9+36</f>
        <v>45</v>
      </c>
      <c r="G309" s="9">
        <v>0</v>
      </c>
      <c r="H309" s="2">
        <f t="shared" si="4"/>
        <v>45</v>
      </c>
      <c r="I309" s="9">
        <v>14</v>
      </c>
      <c r="J309" s="9">
        <f>357+1090</f>
        <v>1447</v>
      </c>
      <c r="N309" s="2">
        <v>2000</v>
      </c>
      <c r="O309" s="2">
        <v>4</v>
      </c>
      <c r="P309" s="19">
        <f t="shared" si="7"/>
        <v>12855</v>
      </c>
      <c r="Q309" s="9">
        <f>6884+4271</f>
        <v>11155</v>
      </c>
      <c r="R309" s="9">
        <f>408+1055</f>
        <v>1463</v>
      </c>
      <c r="S309" s="9">
        <v>4</v>
      </c>
      <c r="T309" s="9">
        <v>18</v>
      </c>
      <c r="U309" s="9">
        <f>64+151</f>
        <v>215</v>
      </c>
    </row>
    <row r="310" spans="1:21">
      <c r="A310" s="2">
        <v>2000</v>
      </c>
      <c r="B310" s="2">
        <v>5</v>
      </c>
      <c r="C310" s="16">
        <f t="shared" si="5"/>
        <v>16737</v>
      </c>
      <c r="D310" s="9">
        <f>4400+3434</f>
        <v>7834</v>
      </c>
      <c r="E310" s="9">
        <f>2289+4969</f>
        <v>7258</v>
      </c>
      <c r="F310" s="9">
        <v>53</v>
      </c>
      <c r="G310" s="9">
        <v>0</v>
      </c>
      <c r="H310" s="2">
        <f t="shared" si="4"/>
        <v>53</v>
      </c>
      <c r="I310" s="9">
        <v>13</v>
      </c>
      <c r="J310" s="9">
        <f>409+1170</f>
        <v>1579</v>
      </c>
      <c r="N310" s="2">
        <v>2000</v>
      </c>
      <c r="O310" s="2">
        <v>5</v>
      </c>
      <c r="P310" s="19">
        <f t="shared" si="7"/>
        <v>12510</v>
      </c>
      <c r="Q310" s="9">
        <f>6577+4228</f>
        <v>10805</v>
      </c>
      <c r="R310" s="9">
        <f>411+1058</f>
        <v>1469</v>
      </c>
      <c r="S310" s="9">
        <v>4</v>
      </c>
      <c r="T310" s="9">
        <v>18</v>
      </c>
      <c r="U310" s="9">
        <f>62+152</f>
        <v>214</v>
      </c>
    </row>
    <row r="311" spans="1:21">
      <c r="A311" s="2">
        <v>2000</v>
      </c>
      <c r="B311" s="2">
        <v>6</v>
      </c>
      <c r="C311" s="16">
        <f t="shared" si="5"/>
        <v>20176</v>
      </c>
      <c r="D311" s="9">
        <f>5913+4617</f>
        <v>10530</v>
      </c>
      <c r="E311" s="9">
        <f>2528+5420</f>
        <v>7948</v>
      </c>
      <c r="F311" s="9">
        <f>11+46</f>
        <v>57</v>
      </c>
      <c r="G311" s="9">
        <v>0</v>
      </c>
      <c r="H311" s="2">
        <f t="shared" si="4"/>
        <v>57</v>
      </c>
      <c r="I311" s="9">
        <f>13+2</f>
        <v>15</v>
      </c>
      <c r="J311" s="9">
        <f>447+1179</f>
        <v>1626</v>
      </c>
      <c r="N311" s="2">
        <v>2000</v>
      </c>
      <c r="O311" s="2">
        <v>6</v>
      </c>
      <c r="P311" s="19">
        <f t="shared" si="7"/>
        <v>12437</v>
      </c>
      <c r="Q311" s="9">
        <f>6534+4200</f>
        <v>10734</v>
      </c>
      <c r="R311" s="9">
        <f>402+1066</f>
        <v>1468</v>
      </c>
      <c r="S311" s="9">
        <v>4</v>
      </c>
      <c r="T311" s="9">
        <v>18</v>
      </c>
      <c r="U311" s="9">
        <f>62+151</f>
        <v>213</v>
      </c>
    </row>
    <row r="312" spans="1:21">
      <c r="A312" s="2">
        <v>2000</v>
      </c>
      <c r="B312" s="2">
        <v>7</v>
      </c>
      <c r="C312" s="16">
        <f t="shared" si="5"/>
        <v>20662</v>
      </c>
      <c r="D312" s="9">
        <f>6011+4844</f>
        <v>10855</v>
      </c>
      <c r="E312" s="9">
        <f>2542+5599</f>
        <v>8141</v>
      </c>
      <c r="F312" s="9">
        <f>11+46</f>
        <v>57</v>
      </c>
      <c r="G312" s="9">
        <v>0</v>
      </c>
      <c r="H312" s="2">
        <f t="shared" si="4"/>
        <v>57</v>
      </c>
      <c r="I312" s="9">
        <f>13+0</f>
        <v>13</v>
      </c>
      <c r="J312" s="9">
        <f>407+1189</f>
        <v>1596</v>
      </c>
      <c r="N312" s="2">
        <v>2000</v>
      </c>
      <c r="O312" s="2">
        <v>7</v>
      </c>
      <c r="P312" s="19">
        <f t="shared" si="7"/>
        <v>12392</v>
      </c>
      <c r="Q312" s="9">
        <f>6517+4166</f>
        <v>10683</v>
      </c>
      <c r="R312" s="9">
        <f>396+1079</f>
        <v>1475</v>
      </c>
      <c r="S312" s="9">
        <v>4</v>
      </c>
      <c r="T312" s="9">
        <v>17</v>
      </c>
      <c r="U312" s="9">
        <f>61+152</f>
        <v>213</v>
      </c>
    </row>
    <row r="313" spans="1:21">
      <c r="A313" s="2">
        <v>2000</v>
      </c>
      <c r="B313" s="2">
        <v>8</v>
      </c>
      <c r="C313" s="16">
        <f t="shared" si="5"/>
        <v>18746</v>
      </c>
      <c r="D313" s="9">
        <f>5485+4260</f>
        <v>9745</v>
      </c>
      <c r="E313" s="9">
        <f>2424+5053</f>
        <v>7477</v>
      </c>
      <c r="F313" s="9">
        <f>11+44</f>
        <v>55</v>
      </c>
      <c r="G313" s="9">
        <v>0</v>
      </c>
      <c r="H313" s="2">
        <f t="shared" si="4"/>
        <v>55</v>
      </c>
      <c r="I313" s="9">
        <v>13</v>
      </c>
      <c r="J313" s="9">
        <f>359+1097</f>
        <v>1456</v>
      </c>
      <c r="N313" s="2">
        <v>2000</v>
      </c>
      <c r="O313" s="2">
        <v>8</v>
      </c>
      <c r="P313" s="19">
        <f t="shared" si="7"/>
        <v>12377</v>
      </c>
      <c r="Q313" s="9">
        <f>6517+4157</f>
        <v>10674</v>
      </c>
      <c r="R313" s="9">
        <f>393+1076</f>
        <v>1469</v>
      </c>
      <c r="S313" s="9">
        <v>4</v>
      </c>
      <c r="T313" s="9">
        <v>17</v>
      </c>
      <c r="U313" s="9">
        <f>61+152</f>
        <v>213</v>
      </c>
    </row>
    <row r="314" spans="1:21">
      <c r="A314" s="2">
        <v>2000</v>
      </c>
      <c r="B314" s="2">
        <v>9</v>
      </c>
      <c r="C314" s="16">
        <f t="shared" si="5"/>
        <v>20511</v>
      </c>
      <c r="D314" s="9">
        <f>6088+4722</f>
        <v>10810</v>
      </c>
      <c r="E314" s="9">
        <f>2461+5510</f>
        <v>7971</v>
      </c>
      <c r="F314" s="9">
        <f>11+44</f>
        <v>55</v>
      </c>
      <c r="G314" s="9">
        <v>0</v>
      </c>
      <c r="H314" s="2">
        <f t="shared" si="4"/>
        <v>55</v>
      </c>
      <c r="I314" s="9">
        <v>13</v>
      </c>
      <c r="J314" s="9">
        <f>516+1146</f>
        <v>1662</v>
      </c>
      <c r="N314" s="2">
        <v>2000</v>
      </c>
      <c r="O314" s="2">
        <v>9</v>
      </c>
      <c r="P314" s="19">
        <f t="shared" si="7"/>
        <v>12434</v>
      </c>
      <c r="Q314" s="9">
        <f>6530+4116</f>
        <v>10646</v>
      </c>
      <c r="R314" s="9">
        <f>458+1094</f>
        <v>1552</v>
      </c>
      <c r="S314" s="9">
        <v>4</v>
      </c>
      <c r="T314" s="9">
        <v>17</v>
      </c>
      <c r="U314" s="9">
        <f>63+152</f>
        <v>215</v>
      </c>
    </row>
    <row r="315" spans="1:21">
      <c r="A315" s="2">
        <v>2000</v>
      </c>
      <c r="B315" s="2">
        <v>10</v>
      </c>
      <c r="C315" s="16">
        <f t="shared" si="5"/>
        <v>18105</v>
      </c>
      <c r="D315" s="9">
        <f>5236+3841</f>
        <v>9077</v>
      </c>
      <c r="E315" s="9">
        <f>2328+5029</f>
        <v>7357</v>
      </c>
      <c r="F315" s="9">
        <f>9+41</f>
        <v>50</v>
      </c>
      <c r="G315" s="9">
        <v>0</v>
      </c>
      <c r="H315" s="2">
        <f t="shared" si="4"/>
        <v>50</v>
      </c>
      <c r="I315" s="9">
        <v>13</v>
      </c>
      <c r="J315" s="9">
        <f>486+1122</f>
        <v>1608</v>
      </c>
      <c r="N315" s="2">
        <v>2000</v>
      </c>
      <c r="O315" s="2">
        <v>10</v>
      </c>
      <c r="P315" s="19">
        <f t="shared" si="7"/>
        <v>12402</v>
      </c>
      <c r="Q315" s="9">
        <f>6552+4124</f>
        <v>10676</v>
      </c>
      <c r="R315" s="9">
        <f>409+1083</f>
        <v>1492</v>
      </c>
      <c r="S315" s="9">
        <v>4</v>
      </c>
      <c r="T315" s="9">
        <v>17</v>
      </c>
      <c r="U315" s="9">
        <f>61+152</f>
        <v>213</v>
      </c>
    </row>
    <row r="316" spans="1:21">
      <c r="A316" s="2">
        <v>2000</v>
      </c>
      <c r="B316" s="2">
        <v>11</v>
      </c>
      <c r="C316" s="16">
        <f t="shared" si="5"/>
        <v>14507</v>
      </c>
      <c r="D316" s="9">
        <f>3763+2723</f>
        <v>6486</v>
      </c>
      <c r="E316" s="9">
        <f>2216+4356</f>
        <v>6572</v>
      </c>
      <c r="F316" s="9">
        <f>10+33</f>
        <v>43</v>
      </c>
      <c r="G316" s="9">
        <v>0</v>
      </c>
      <c r="H316" s="2">
        <f t="shared" si="4"/>
        <v>43</v>
      </c>
      <c r="I316" s="9">
        <v>13</v>
      </c>
      <c r="J316" s="9">
        <f>370+1023</f>
        <v>1393</v>
      </c>
      <c r="N316" s="2">
        <v>2000</v>
      </c>
      <c r="O316" s="2">
        <v>11</v>
      </c>
      <c r="P316" s="19">
        <f t="shared" si="7"/>
        <v>12682</v>
      </c>
      <c r="Q316" s="9">
        <f>6760+4170</f>
        <v>10930</v>
      </c>
      <c r="R316" s="9">
        <f>431+1089</f>
        <v>1520</v>
      </c>
      <c r="S316" s="9">
        <f>2+2</f>
        <v>4</v>
      </c>
      <c r="T316" s="9">
        <v>17</v>
      </c>
      <c r="U316" s="9">
        <f>60+151</f>
        <v>211</v>
      </c>
    </row>
    <row r="317" spans="1:21">
      <c r="A317" s="2">
        <v>2000</v>
      </c>
      <c r="B317" s="2">
        <v>12</v>
      </c>
      <c r="C317" s="16">
        <f t="shared" si="5"/>
        <v>15391</v>
      </c>
      <c r="D317" s="9">
        <f>4926+3080</f>
        <v>8006</v>
      </c>
      <c r="E317" s="9">
        <f>2130+3949</f>
        <v>6079</v>
      </c>
      <c r="F317" s="9">
        <f>8+34</f>
        <v>42</v>
      </c>
      <c r="G317" s="9">
        <v>0</v>
      </c>
      <c r="H317" s="2">
        <f t="shared" si="4"/>
        <v>42</v>
      </c>
      <c r="I317" s="9">
        <v>13</v>
      </c>
      <c r="J317" s="9">
        <f>327+924</f>
        <v>1251</v>
      </c>
      <c r="N317" s="2">
        <v>2000</v>
      </c>
      <c r="O317" s="2">
        <v>12</v>
      </c>
      <c r="P317" s="19">
        <f t="shared" si="7"/>
        <v>12924</v>
      </c>
      <c r="Q317" s="9">
        <f>6940+4211</f>
        <v>11151</v>
      </c>
      <c r="R317" s="9">
        <f>438+1101</f>
        <v>1539</v>
      </c>
      <c r="S317" s="9">
        <v>4</v>
      </c>
      <c r="T317" s="9">
        <v>17</v>
      </c>
      <c r="U317" s="9">
        <f>60+153</f>
        <v>213</v>
      </c>
    </row>
    <row r="318" spans="1:21">
      <c r="A318" s="2">
        <f>A306+1</f>
        <v>2001</v>
      </c>
      <c r="B318" s="2">
        <f>B306</f>
        <v>1</v>
      </c>
      <c r="C318" s="16">
        <f t="shared" si="5"/>
        <v>22287</v>
      </c>
      <c r="D318" s="9">
        <v>14348</v>
      </c>
      <c r="E318" s="9">
        <v>6501</v>
      </c>
      <c r="F318" s="9">
        <v>37</v>
      </c>
      <c r="G318" s="9">
        <v>0</v>
      </c>
      <c r="H318" s="2">
        <f t="shared" si="4"/>
        <v>37</v>
      </c>
      <c r="I318" s="9">
        <v>13</v>
      </c>
      <c r="J318" s="9">
        <v>1388</v>
      </c>
      <c r="N318" s="2">
        <v>2001</v>
      </c>
      <c r="O318" s="2">
        <v>1</v>
      </c>
      <c r="P318" s="19">
        <f t="shared" si="7"/>
        <v>13107</v>
      </c>
      <c r="Q318" s="9">
        <v>11336</v>
      </c>
      <c r="R318" s="9">
        <v>1538</v>
      </c>
      <c r="S318" s="9">
        <v>4</v>
      </c>
      <c r="T318" s="9">
        <v>17</v>
      </c>
      <c r="U318" s="9">
        <v>212</v>
      </c>
    </row>
    <row r="319" spans="1:21">
      <c r="A319" s="2">
        <f t="shared" ref="A319:A382" si="8">A307+1</f>
        <v>2001</v>
      </c>
      <c r="B319" s="2">
        <f t="shared" ref="B319:B382" si="9">B307</f>
        <v>2</v>
      </c>
      <c r="C319" s="16">
        <f t="shared" si="5"/>
        <v>17700</v>
      </c>
      <c r="D319" s="9">
        <f>6381+3678</f>
        <v>10059</v>
      </c>
      <c r="E319" s="9">
        <f>2123+4164</f>
        <v>6287</v>
      </c>
      <c r="F319" s="9">
        <f>9+31</f>
        <v>40</v>
      </c>
      <c r="G319" s="9">
        <v>0</v>
      </c>
      <c r="H319" s="2">
        <f t="shared" si="4"/>
        <v>40</v>
      </c>
      <c r="I319" s="9">
        <f>13</f>
        <v>13</v>
      </c>
      <c r="J319" s="9">
        <f>377+924</f>
        <v>1301</v>
      </c>
      <c r="N319" s="2">
        <v>2001</v>
      </c>
      <c r="O319" s="2">
        <v>2</v>
      </c>
      <c r="P319" s="19">
        <f t="shared" si="7"/>
        <v>13212</v>
      </c>
      <c r="Q319" s="9">
        <f>7139+4294</f>
        <v>11433</v>
      </c>
      <c r="R319" s="9">
        <f>440+1104</f>
        <v>1544</v>
      </c>
      <c r="S319" s="9">
        <f>4</f>
        <v>4</v>
      </c>
      <c r="T319" s="9">
        <f>17</f>
        <v>17</v>
      </c>
      <c r="U319" s="9">
        <f>61+153</f>
        <v>214</v>
      </c>
    </row>
    <row r="320" spans="1:21">
      <c r="A320" s="2">
        <f t="shared" si="8"/>
        <v>2001</v>
      </c>
      <c r="B320" s="2">
        <f t="shared" si="9"/>
        <v>3</v>
      </c>
      <c r="C320" s="16">
        <f t="shared" si="5"/>
        <v>15555</v>
      </c>
      <c r="D320" s="9">
        <v>7989</v>
      </c>
      <c r="E320" s="9">
        <v>6175</v>
      </c>
      <c r="F320" s="9">
        <v>43</v>
      </c>
      <c r="G320" s="9">
        <v>0</v>
      </c>
      <c r="H320" s="2">
        <f t="shared" si="4"/>
        <v>43</v>
      </c>
      <c r="I320" s="9">
        <v>13</v>
      </c>
      <c r="J320" s="9">
        <v>1335</v>
      </c>
      <c r="N320" s="2">
        <v>2001</v>
      </c>
      <c r="O320" s="2">
        <v>3</v>
      </c>
      <c r="P320" s="19">
        <f t="shared" si="7"/>
        <v>13202</v>
      </c>
      <c r="Q320" s="9">
        <v>11440</v>
      </c>
      <c r="R320" s="9">
        <v>1525</v>
      </c>
      <c r="S320" s="9">
        <v>4</v>
      </c>
      <c r="T320" s="9">
        <v>17</v>
      </c>
      <c r="U320" s="9">
        <v>216</v>
      </c>
    </row>
    <row r="321" spans="1:21">
      <c r="A321" s="2">
        <f t="shared" si="8"/>
        <v>2001</v>
      </c>
      <c r="B321" s="2">
        <f t="shared" si="9"/>
        <v>4</v>
      </c>
      <c r="C321" s="16">
        <f t="shared" si="5"/>
        <v>15955</v>
      </c>
      <c r="D321" s="9">
        <v>7944</v>
      </c>
      <c r="E321" s="9">
        <v>6465</v>
      </c>
      <c r="F321" s="9">
        <v>45</v>
      </c>
      <c r="G321" s="9">
        <v>0</v>
      </c>
      <c r="H321" s="2">
        <f t="shared" si="4"/>
        <v>45</v>
      </c>
      <c r="I321" s="9">
        <v>14</v>
      </c>
      <c r="J321" s="9">
        <v>1487</v>
      </c>
      <c r="N321" s="2">
        <v>2001</v>
      </c>
      <c r="O321" s="2">
        <v>4</v>
      </c>
      <c r="P321" s="19">
        <f t="shared" si="7"/>
        <v>12875</v>
      </c>
      <c r="Q321" s="9">
        <v>11113</v>
      </c>
      <c r="R321" s="9">
        <v>1524</v>
      </c>
      <c r="S321" s="9">
        <v>4</v>
      </c>
      <c r="T321" s="9">
        <v>18</v>
      </c>
      <c r="U321" s="9">
        <v>216</v>
      </c>
    </row>
    <row r="322" spans="1:21">
      <c r="A322" s="2">
        <f t="shared" si="8"/>
        <v>2001</v>
      </c>
      <c r="B322" s="2">
        <f t="shared" si="9"/>
        <v>5</v>
      </c>
      <c r="C322" s="16">
        <f t="shared" si="5"/>
        <v>14846</v>
      </c>
      <c r="D322" s="9">
        <v>7107</v>
      </c>
      <c r="E322" s="9">
        <v>6372</v>
      </c>
      <c r="F322" s="9">
        <v>49</v>
      </c>
      <c r="G322" s="9">
        <v>0</v>
      </c>
      <c r="H322" s="2">
        <f t="shared" si="4"/>
        <v>49</v>
      </c>
      <c r="I322" s="9">
        <v>14</v>
      </c>
      <c r="J322" s="9">
        <v>1304</v>
      </c>
      <c r="N322" s="2">
        <v>2001</v>
      </c>
      <c r="O322" s="2">
        <v>5</v>
      </c>
      <c r="P322" s="19">
        <f t="shared" si="7"/>
        <v>12622</v>
      </c>
      <c r="Q322" s="9">
        <v>10866</v>
      </c>
      <c r="R322" s="9">
        <v>1518</v>
      </c>
      <c r="S322" s="9">
        <v>4</v>
      </c>
      <c r="T322" s="9">
        <v>18</v>
      </c>
      <c r="U322" s="9">
        <v>216</v>
      </c>
    </row>
    <row r="323" spans="1:21">
      <c r="A323" s="2">
        <f t="shared" si="8"/>
        <v>2001</v>
      </c>
      <c r="B323" s="2">
        <f t="shared" si="9"/>
        <v>6</v>
      </c>
      <c r="C323" s="16">
        <f t="shared" si="5"/>
        <v>19480</v>
      </c>
      <c r="D323" s="9">
        <f>5587+4449</f>
        <v>10036</v>
      </c>
      <c r="E323" s="9">
        <f>2439+5145</f>
        <v>7584</v>
      </c>
      <c r="F323" s="9">
        <v>53</v>
      </c>
      <c r="G323" s="9">
        <v>0</v>
      </c>
      <c r="H323" s="2">
        <f t="shared" si="4"/>
        <v>53</v>
      </c>
      <c r="I323" s="9">
        <v>13</v>
      </c>
      <c r="J323" s="9">
        <f>469+1325</f>
        <v>1794</v>
      </c>
      <c r="N323" s="2">
        <v>2001</v>
      </c>
      <c r="O323" s="2">
        <v>6</v>
      </c>
      <c r="P323" s="19">
        <f t="shared" si="7"/>
        <v>12553</v>
      </c>
      <c r="Q323" s="9">
        <f>6599+4209</f>
        <v>10808</v>
      </c>
      <c r="R323" s="9">
        <f>413+1094</f>
        <v>1507</v>
      </c>
      <c r="S323" s="9">
        <v>4</v>
      </c>
      <c r="T323" s="9">
        <f>16</f>
        <v>16</v>
      </c>
      <c r="U323" s="9">
        <f>62+156</f>
        <v>218</v>
      </c>
    </row>
    <row r="324" spans="1:21">
      <c r="A324" s="2">
        <f t="shared" si="8"/>
        <v>2001</v>
      </c>
      <c r="B324" s="2">
        <f t="shared" si="9"/>
        <v>7</v>
      </c>
      <c r="C324" s="16">
        <f t="shared" si="5"/>
        <v>19037</v>
      </c>
      <c r="D324" s="9">
        <f>5527+4274</f>
        <v>9801</v>
      </c>
      <c r="E324" s="9">
        <f>2470+5292</f>
        <v>7762</v>
      </c>
      <c r="F324" s="9">
        <f>11+44</f>
        <v>55</v>
      </c>
      <c r="G324" s="9">
        <v>0</v>
      </c>
      <c r="H324" s="2">
        <f t="shared" si="4"/>
        <v>55</v>
      </c>
      <c r="I324" s="9">
        <v>10</v>
      </c>
      <c r="J324" s="9">
        <f>333+1076</f>
        <v>1409</v>
      </c>
      <c r="N324" s="2">
        <v>2001</v>
      </c>
      <c r="O324" s="2">
        <v>7</v>
      </c>
      <c r="P324" s="19">
        <f t="shared" si="7"/>
        <v>12501</v>
      </c>
      <c r="Q324" s="9">
        <f>6581+4178</f>
        <v>10759</v>
      </c>
      <c r="R324" s="9">
        <f>413+1094</f>
        <v>1507</v>
      </c>
      <c r="S324" s="9">
        <v>4</v>
      </c>
      <c r="T324" s="9">
        <v>16</v>
      </c>
      <c r="U324" s="9">
        <f>61+154</f>
        <v>215</v>
      </c>
    </row>
    <row r="325" spans="1:21">
      <c r="A325" s="2">
        <f t="shared" si="8"/>
        <v>2001</v>
      </c>
      <c r="B325" s="2">
        <f t="shared" si="9"/>
        <v>8</v>
      </c>
      <c r="C325" s="16">
        <f t="shared" si="5"/>
        <v>17548</v>
      </c>
      <c r="D325" s="9">
        <v>9101</v>
      </c>
      <c r="E325" s="9">
        <v>6974</v>
      </c>
      <c r="F325" s="9">
        <v>49</v>
      </c>
      <c r="G325" s="9">
        <v>0</v>
      </c>
      <c r="H325" s="2">
        <f t="shared" si="4"/>
        <v>49</v>
      </c>
      <c r="I325" s="9">
        <v>6</v>
      </c>
      <c r="J325" s="9">
        <v>1418</v>
      </c>
      <c r="N325" s="2">
        <v>2001</v>
      </c>
      <c r="O325" s="2">
        <v>8</v>
      </c>
      <c r="P325" s="19">
        <f t="shared" si="7"/>
        <v>12549</v>
      </c>
      <c r="Q325" s="9">
        <v>10777</v>
      </c>
      <c r="R325" s="9">
        <v>1530</v>
      </c>
      <c r="S325" s="9">
        <v>4</v>
      </c>
      <c r="T325" s="9">
        <v>16</v>
      </c>
      <c r="U325" s="9">
        <v>222</v>
      </c>
    </row>
    <row r="326" spans="1:21">
      <c r="A326" s="2">
        <f t="shared" si="8"/>
        <v>2001</v>
      </c>
      <c r="B326" s="2">
        <f t="shared" si="9"/>
        <v>9</v>
      </c>
      <c r="C326" s="16">
        <f t="shared" si="5"/>
        <v>21813</v>
      </c>
      <c r="D326" s="9">
        <v>11493</v>
      </c>
      <c r="E326" s="9">
        <v>8447</v>
      </c>
      <c r="F326" s="9">
        <v>55</v>
      </c>
      <c r="G326" s="9">
        <v>0</v>
      </c>
      <c r="H326" s="2">
        <f t="shared" si="4"/>
        <v>55</v>
      </c>
      <c r="I326" s="9">
        <v>9</v>
      </c>
      <c r="J326" s="9">
        <v>1809</v>
      </c>
      <c r="N326" s="2">
        <v>2001</v>
      </c>
      <c r="O326" s="2">
        <v>9</v>
      </c>
      <c r="P326" s="19">
        <f t="shared" si="7"/>
        <v>12567</v>
      </c>
      <c r="Q326" s="9">
        <v>10785</v>
      </c>
      <c r="R326" s="9">
        <v>1535</v>
      </c>
      <c r="S326" s="9">
        <v>4</v>
      </c>
      <c r="T326" s="9">
        <v>16</v>
      </c>
      <c r="U326" s="9">
        <v>227</v>
      </c>
    </row>
    <row r="327" spans="1:21">
      <c r="A327" s="2">
        <f t="shared" si="8"/>
        <v>2001</v>
      </c>
      <c r="B327" s="2">
        <f t="shared" si="9"/>
        <v>10</v>
      </c>
      <c r="C327" s="16">
        <f t="shared" si="5"/>
        <v>16745</v>
      </c>
      <c r="D327" s="9">
        <v>8185</v>
      </c>
      <c r="E327" s="9">
        <v>7031</v>
      </c>
      <c r="F327" s="9">
        <v>41</v>
      </c>
      <c r="G327" s="9">
        <v>0</v>
      </c>
      <c r="H327" s="2">
        <f t="shared" si="4"/>
        <v>41</v>
      </c>
      <c r="I327" s="9">
        <v>10</v>
      </c>
      <c r="J327" s="9">
        <v>1478</v>
      </c>
      <c r="N327" s="2">
        <v>2001</v>
      </c>
      <c r="O327" s="2">
        <v>10</v>
      </c>
      <c r="P327" s="19">
        <f t="shared" si="7"/>
        <v>12562</v>
      </c>
      <c r="Q327" s="9">
        <v>10791</v>
      </c>
      <c r="R327" s="9">
        <v>1531</v>
      </c>
      <c r="S327" s="9">
        <v>4</v>
      </c>
      <c r="T327" s="9">
        <v>16</v>
      </c>
      <c r="U327" s="9">
        <v>220</v>
      </c>
    </row>
    <row r="328" spans="1:21">
      <c r="A328" s="2">
        <f t="shared" si="8"/>
        <v>2001</v>
      </c>
      <c r="B328" s="2">
        <f t="shared" si="9"/>
        <v>11</v>
      </c>
      <c r="C328" s="16">
        <f t="shared" si="5"/>
        <v>14905</v>
      </c>
      <c r="D328" s="9">
        <v>6933</v>
      </c>
      <c r="E328" s="9">
        <v>6541</v>
      </c>
      <c r="F328" s="9">
        <v>41</v>
      </c>
      <c r="G328" s="9">
        <v>0</v>
      </c>
      <c r="H328" s="2">
        <f t="shared" ref="H328:H357" si="10">F328-G328</f>
        <v>41</v>
      </c>
      <c r="I328" s="9">
        <v>10</v>
      </c>
      <c r="J328" s="9">
        <v>1380</v>
      </c>
      <c r="N328" s="2">
        <v>2001</v>
      </c>
      <c r="O328" s="2">
        <v>11</v>
      </c>
      <c r="P328" s="19">
        <f t="shared" si="7"/>
        <v>12801</v>
      </c>
      <c r="Q328" s="9">
        <v>11009</v>
      </c>
      <c r="R328" s="9">
        <v>1556</v>
      </c>
      <c r="S328" s="9">
        <v>4</v>
      </c>
      <c r="T328" s="9">
        <v>16</v>
      </c>
      <c r="U328" s="9">
        <v>216</v>
      </c>
    </row>
    <row r="329" spans="1:21">
      <c r="A329" s="2">
        <f t="shared" si="8"/>
        <v>2001</v>
      </c>
      <c r="B329" s="2">
        <f t="shared" si="9"/>
        <v>12</v>
      </c>
      <c r="C329" s="16">
        <f t="shared" si="5"/>
        <v>15348</v>
      </c>
      <c r="D329" s="9">
        <f>4258+2902</f>
        <v>7160</v>
      </c>
      <c r="E329" s="9">
        <f>2252+4453</f>
        <v>6705</v>
      </c>
      <c r="F329" s="9">
        <f>9+35</f>
        <v>44</v>
      </c>
      <c r="G329" s="9">
        <v>0</v>
      </c>
      <c r="H329" s="2">
        <f t="shared" si="10"/>
        <v>44</v>
      </c>
      <c r="I329" s="9">
        <v>9</v>
      </c>
      <c r="J329" s="9">
        <f>412+1018</f>
        <v>1430</v>
      </c>
      <c r="N329" s="2">
        <v>2001</v>
      </c>
      <c r="O329" s="2">
        <v>12</v>
      </c>
      <c r="P329" s="19">
        <f t="shared" si="7"/>
        <v>13020</v>
      </c>
      <c r="Q329" s="9">
        <f>6952+4275</f>
        <v>11227</v>
      </c>
      <c r="R329" s="9">
        <f>439+1117</f>
        <v>1556</v>
      </c>
      <c r="S329" s="9">
        <v>4</v>
      </c>
      <c r="T329" s="9">
        <v>15</v>
      </c>
      <c r="U329" s="9">
        <f>62+156</f>
        <v>218</v>
      </c>
    </row>
    <row r="330" spans="1:21">
      <c r="A330" s="2">
        <f t="shared" si="8"/>
        <v>2002</v>
      </c>
      <c r="B330" s="2">
        <f t="shared" si="9"/>
        <v>1</v>
      </c>
      <c r="C330" s="16">
        <f t="shared" si="5"/>
        <v>20329</v>
      </c>
      <c r="D330" s="9">
        <f>7669+4555</f>
        <v>12224</v>
      </c>
      <c r="E330" s="9">
        <f>2413+4304</f>
        <v>6717</v>
      </c>
      <c r="F330" s="9">
        <v>38</v>
      </c>
      <c r="G330" s="9">
        <v>0</v>
      </c>
      <c r="H330" s="2">
        <f t="shared" si="10"/>
        <v>38</v>
      </c>
      <c r="I330" s="9">
        <v>9</v>
      </c>
      <c r="J330" s="9">
        <v>1341</v>
      </c>
      <c r="N330" s="2">
        <f t="shared" ref="N330:N393" si="11">N318+1</f>
        <v>2002</v>
      </c>
      <c r="O330" s="2">
        <f t="shared" ref="O330:O393" si="12">O318</f>
        <v>1</v>
      </c>
      <c r="P330" s="19">
        <f t="shared" si="7"/>
        <v>13222</v>
      </c>
      <c r="Q330" s="9">
        <f>7124+4311</f>
        <v>11435</v>
      </c>
      <c r="R330" s="9">
        <f>433+1119</f>
        <v>1552</v>
      </c>
      <c r="S330" s="9">
        <v>4</v>
      </c>
      <c r="T330" s="9">
        <v>15</v>
      </c>
      <c r="U330" s="9">
        <f>63+153</f>
        <v>216</v>
      </c>
    </row>
    <row r="331" spans="1:21">
      <c r="A331" s="2">
        <f t="shared" si="8"/>
        <v>2002</v>
      </c>
      <c r="B331" s="2">
        <f t="shared" si="9"/>
        <v>2</v>
      </c>
      <c r="C331" s="16">
        <f t="shared" si="5"/>
        <v>15275</v>
      </c>
      <c r="D331" s="9">
        <f>4600+2916</f>
        <v>7516</v>
      </c>
      <c r="E331" s="9">
        <f>2020+4303</f>
        <v>6323</v>
      </c>
      <c r="F331" s="9">
        <f>10+27</f>
        <v>37</v>
      </c>
      <c r="G331" s="9">
        <v>0</v>
      </c>
      <c r="H331" s="2">
        <f t="shared" si="10"/>
        <v>37</v>
      </c>
      <c r="I331" s="9">
        <v>9</v>
      </c>
      <c r="J331" s="9">
        <f>378+1012</f>
        <v>1390</v>
      </c>
      <c r="N331" s="2">
        <f t="shared" si="11"/>
        <v>2002</v>
      </c>
      <c r="O331" s="2">
        <f t="shared" si="12"/>
        <v>2</v>
      </c>
      <c r="P331" s="19">
        <f t="shared" si="7"/>
        <v>13295</v>
      </c>
      <c r="Q331" s="9">
        <f>7166+4337</f>
        <v>11503</v>
      </c>
      <c r="R331" s="9">
        <f>436+1119</f>
        <v>1555</v>
      </c>
      <c r="S331" s="9">
        <v>4</v>
      </c>
      <c r="T331" s="9">
        <v>15</v>
      </c>
      <c r="U331" s="9">
        <f>64+154</f>
        <v>218</v>
      </c>
    </row>
    <row r="332" spans="1:21">
      <c r="A332" s="2">
        <f t="shared" si="8"/>
        <v>2002</v>
      </c>
      <c r="B332" s="2">
        <f t="shared" si="9"/>
        <v>3</v>
      </c>
      <c r="C332" s="16">
        <f t="shared" si="5"/>
        <v>16346</v>
      </c>
      <c r="D332" s="9">
        <f>5478+3330</f>
        <v>8808</v>
      </c>
      <c r="E332" s="9">
        <f>2058+4094</f>
        <v>6152</v>
      </c>
      <c r="F332" s="9">
        <f>9+28</f>
        <v>37</v>
      </c>
      <c r="G332" s="9">
        <v>0</v>
      </c>
      <c r="H332" s="2">
        <f t="shared" si="10"/>
        <v>37</v>
      </c>
      <c r="I332" s="9">
        <v>10</v>
      </c>
      <c r="J332" s="9">
        <f>371+968</f>
        <v>1339</v>
      </c>
      <c r="N332" s="2">
        <f t="shared" si="11"/>
        <v>2002</v>
      </c>
      <c r="O332" s="2">
        <f t="shared" si="12"/>
        <v>3</v>
      </c>
      <c r="P332" s="19">
        <f t="shared" si="7"/>
        <v>13292</v>
      </c>
      <c r="Q332" s="9">
        <f>7174+4329</f>
        <v>11503</v>
      </c>
      <c r="R332" s="9">
        <f>436+1119</f>
        <v>1555</v>
      </c>
      <c r="S332" s="9">
        <v>4</v>
      </c>
      <c r="T332" s="9">
        <v>15</v>
      </c>
      <c r="U332" s="9">
        <f>63+152</f>
        <v>215</v>
      </c>
    </row>
    <row r="333" spans="1:21">
      <c r="A333" s="2">
        <f t="shared" si="8"/>
        <v>2002</v>
      </c>
      <c r="B333" s="2">
        <f t="shared" si="9"/>
        <v>4</v>
      </c>
      <c r="C333" s="16">
        <f t="shared" si="5"/>
        <v>17263</v>
      </c>
      <c r="D333" s="9">
        <f>5301+3389</f>
        <v>8690</v>
      </c>
      <c r="E333" s="9">
        <f>2300+4770</f>
        <v>7070</v>
      </c>
      <c r="F333" s="9">
        <f>11+31</f>
        <v>42</v>
      </c>
      <c r="G333" s="9">
        <v>0</v>
      </c>
      <c r="H333" s="2">
        <f t="shared" si="10"/>
        <v>42</v>
      </c>
      <c r="I333" s="9">
        <v>10</v>
      </c>
      <c r="J333" s="9">
        <f>389+1062</f>
        <v>1451</v>
      </c>
      <c r="N333" s="2">
        <f t="shared" si="11"/>
        <v>2002</v>
      </c>
      <c r="O333" s="2">
        <f t="shared" si="12"/>
        <v>4</v>
      </c>
      <c r="P333" s="19">
        <f t="shared" si="7"/>
        <v>12958</v>
      </c>
      <c r="Q333" s="9">
        <f>6889+4280</f>
        <v>11169</v>
      </c>
      <c r="R333" s="9">
        <f>438+1118</f>
        <v>1556</v>
      </c>
      <c r="S333" s="9">
        <v>4</v>
      </c>
      <c r="T333" s="9">
        <v>15</v>
      </c>
      <c r="U333" s="9">
        <f>62+152</f>
        <v>214</v>
      </c>
    </row>
    <row r="334" spans="1:21">
      <c r="A334" s="2">
        <f t="shared" si="8"/>
        <v>2002</v>
      </c>
      <c r="B334" s="2">
        <f t="shared" si="9"/>
        <v>5</v>
      </c>
      <c r="C334" s="16">
        <f t="shared" si="5"/>
        <v>19229</v>
      </c>
      <c r="D334" s="9">
        <f>5739+4349</f>
        <v>10088</v>
      </c>
      <c r="E334" s="9">
        <f>2459+5027</f>
        <v>7486</v>
      </c>
      <c r="F334" s="9">
        <f>10+36</f>
        <v>46</v>
      </c>
      <c r="G334" s="9">
        <v>0</v>
      </c>
      <c r="H334" s="2">
        <f t="shared" si="10"/>
        <v>46</v>
      </c>
      <c r="I334" s="9">
        <v>9</v>
      </c>
      <c r="J334" s="9">
        <f>468+1132</f>
        <v>1600</v>
      </c>
      <c r="N334" s="2">
        <f t="shared" si="11"/>
        <v>2002</v>
      </c>
      <c r="O334" s="2">
        <f t="shared" si="12"/>
        <v>5</v>
      </c>
      <c r="P334" s="19">
        <f t="shared" si="7"/>
        <v>12815</v>
      </c>
      <c r="Q334" s="9">
        <f>6769+4267</f>
        <v>11036</v>
      </c>
      <c r="R334" s="9">
        <f>422+1124</f>
        <v>1546</v>
      </c>
      <c r="S334" s="9">
        <v>4</v>
      </c>
      <c r="T334" s="9">
        <v>15</v>
      </c>
      <c r="U334" s="9">
        <f>62+152</f>
        <v>214</v>
      </c>
    </row>
    <row r="335" spans="1:21">
      <c r="A335" s="2">
        <f t="shared" si="8"/>
        <v>2002</v>
      </c>
      <c r="B335" s="2">
        <f t="shared" si="9"/>
        <v>6</v>
      </c>
      <c r="C335" s="16">
        <f t="shared" si="5"/>
        <v>19735</v>
      </c>
      <c r="D335" s="9">
        <f>5560+4430</f>
        <v>9990</v>
      </c>
      <c r="E335" s="9">
        <f>2560+5472</f>
        <v>8032</v>
      </c>
      <c r="F335" s="9">
        <f>11+41</f>
        <v>52</v>
      </c>
      <c r="G335" s="9">
        <v>0</v>
      </c>
      <c r="H335" s="2">
        <f t="shared" si="10"/>
        <v>52</v>
      </c>
      <c r="I335" s="9">
        <f>8+1</f>
        <v>9</v>
      </c>
      <c r="J335" s="9">
        <f>462+1190</f>
        <v>1652</v>
      </c>
      <c r="N335" s="2">
        <f t="shared" si="11"/>
        <v>2002</v>
      </c>
      <c r="O335" s="2">
        <f t="shared" si="12"/>
        <v>6</v>
      </c>
      <c r="P335" s="19">
        <f t="shared" si="7"/>
        <v>12751</v>
      </c>
      <c r="Q335" s="9">
        <f>6768+4226</f>
        <v>10994</v>
      </c>
      <c r="R335" s="9">
        <f>415+1112</f>
        <v>1527</v>
      </c>
      <c r="S335" s="9">
        <f>2+2</f>
        <v>4</v>
      </c>
      <c r="T335" s="9">
        <f>14+1</f>
        <v>15</v>
      </c>
      <c r="U335" s="9">
        <f>62+149</f>
        <v>211</v>
      </c>
    </row>
    <row r="336" spans="1:21">
      <c r="A336" s="2">
        <f t="shared" si="8"/>
        <v>2002</v>
      </c>
      <c r="B336" s="2">
        <f t="shared" si="9"/>
        <v>7</v>
      </c>
      <c r="C336" s="16">
        <f t="shared" si="5"/>
        <v>18286</v>
      </c>
      <c r="D336" s="9">
        <f>5256+4214</f>
        <v>9470</v>
      </c>
      <c r="E336" s="9">
        <f>2491+4860</f>
        <v>7351</v>
      </c>
      <c r="F336" s="9">
        <f>12+36</f>
        <v>48</v>
      </c>
      <c r="G336" s="9">
        <v>0</v>
      </c>
      <c r="H336" s="2">
        <f t="shared" si="10"/>
        <v>48</v>
      </c>
      <c r="I336" s="9">
        <f>8+0</f>
        <v>8</v>
      </c>
      <c r="J336" s="9">
        <f>412+997</f>
        <v>1409</v>
      </c>
      <c r="N336" s="2">
        <f t="shared" si="11"/>
        <v>2002</v>
      </c>
      <c r="O336" s="2">
        <f t="shared" si="12"/>
        <v>7</v>
      </c>
      <c r="P336" s="19">
        <f t="shared" si="7"/>
        <v>12732</v>
      </c>
      <c r="Q336" s="9">
        <f>6755+4215</f>
        <v>10970</v>
      </c>
      <c r="R336" s="9">
        <f>422+1109</f>
        <v>1531</v>
      </c>
      <c r="S336" s="9">
        <v>4</v>
      </c>
      <c r="T336" s="9">
        <v>15</v>
      </c>
      <c r="U336" s="9">
        <f>63+149</f>
        <v>212</v>
      </c>
    </row>
    <row r="337" spans="1:21">
      <c r="A337" s="2">
        <f t="shared" si="8"/>
        <v>2002</v>
      </c>
      <c r="B337" s="2">
        <f t="shared" si="9"/>
        <v>8</v>
      </c>
      <c r="C337" s="16">
        <f t="shared" si="5"/>
        <v>20006</v>
      </c>
      <c r="D337" s="9">
        <f>6096+4657</f>
        <v>10753</v>
      </c>
      <c r="E337" s="9">
        <f>2414+5263</f>
        <v>7677</v>
      </c>
      <c r="F337" s="9">
        <f>11+37</f>
        <v>48</v>
      </c>
      <c r="G337" s="9">
        <v>0</v>
      </c>
      <c r="H337" s="2">
        <f t="shared" si="10"/>
        <v>48</v>
      </c>
      <c r="I337" s="9">
        <f>8+0</f>
        <v>8</v>
      </c>
      <c r="J337" s="9">
        <f>417+1103</f>
        <v>1520</v>
      </c>
      <c r="N337" s="2">
        <f t="shared" si="11"/>
        <v>2002</v>
      </c>
      <c r="O337" s="2">
        <f t="shared" si="12"/>
        <v>8</v>
      </c>
      <c r="P337" s="19">
        <f t="shared" si="7"/>
        <v>12738</v>
      </c>
      <c r="Q337" s="9">
        <f>6753+4211</f>
        <v>10964</v>
      </c>
      <c r="R337" s="9">
        <f>422+1121</f>
        <v>1543</v>
      </c>
      <c r="S337" s="9">
        <v>4</v>
      </c>
      <c r="T337" s="9">
        <v>15</v>
      </c>
      <c r="U337" s="9">
        <f>63+149</f>
        <v>212</v>
      </c>
    </row>
    <row r="338" spans="1:21">
      <c r="A338" s="2">
        <f t="shared" si="8"/>
        <v>2002</v>
      </c>
      <c r="B338" s="2">
        <f t="shared" si="9"/>
        <v>9</v>
      </c>
      <c r="C338" s="16">
        <f t="shared" si="5"/>
        <v>20812</v>
      </c>
      <c r="D338" s="9">
        <f>6072+4843</f>
        <v>10915</v>
      </c>
      <c r="E338" s="9">
        <f>2516+5484</f>
        <v>8000</v>
      </c>
      <c r="F338" s="9">
        <f>10+41</f>
        <v>51</v>
      </c>
      <c r="G338" s="9">
        <v>0</v>
      </c>
      <c r="H338" s="2">
        <f t="shared" si="10"/>
        <v>51</v>
      </c>
      <c r="I338" s="9">
        <f>8</f>
        <v>8</v>
      </c>
      <c r="J338" s="9">
        <f>636+1202</f>
        <v>1838</v>
      </c>
      <c r="N338" s="2">
        <f t="shared" si="11"/>
        <v>2002</v>
      </c>
      <c r="O338" s="2">
        <f t="shared" si="12"/>
        <v>9</v>
      </c>
      <c r="P338" s="19">
        <f t="shared" si="7"/>
        <v>12711</v>
      </c>
      <c r="Q338" s="9">
        <f>6741+4188</f>
        <v>10929</v>
      </c>
      <c r="R338" s="9">
        <f>429+1121</f>
        <v>1550</v>
      </c>
      <c r="S338" s="9">
        <v>4</v>
      </c>
      <c r="T338" s="9">
        <v>15</v>
      </c>
      <c r="U338" s="9">
        <f>63+150</f>
        <v>213</v>
      </c>
    </row>
    <row r="339" spans="1:21">
      <c r="A339" s="2">
        <f t="shared" si="8"/>
        <v>2002</v>
      </c>
      <c r="B339" s="2">
        <f t="shared" si="9"/>
        <v>10</v>
      </c>
      <c r="C339" s="16">
        <f t="shared" ref="C339:C399" si="13">SUM(D339:F339,I339:J339)</f>
        <v>18873</v>
      </c>
      <c r="D339" s="9">
        <f>5629+4357</f>
        <v>9986</v>
      </c>
      <c r="E339" s="9">
        <f>2319+4910</f>
        <v>7229</v>
      </c>
      <c r="F339" s="9">
        <f>9+36</f>
        <v>45</v>
      </c>
      <c r="G339" s="9">
        <v>0</v>
      </c>
      <c r="H339" s="2">
        <f t="shared" si="10"/>
        <v>45</v>
      </c>
      <c r="I339" s="9">
        <f>8</f>
        <v>8</v>
      </c>
      <c r="J339" s="9">
        <f>534+1071</f>
        <v>1605</v>
      </c>
      <c r="N339" s="2">
        <f t="shared" si="11"/>
        <v>2002</v>
      </c>
      <c r="O339" s="2">
        <f t="shared" si="12"/>
        <v>10</v>
      </c>
      <c r="P339" s="19">
        <f t="shared" si="7"/>
        <v>12721</v>
      </c>
      <c r="Q339" s="9">
        <f>6737+4220</f>
        <v>10957</v>
      </c>
      <c r="R339" s="9">
        <f>423+1110</f>
        <v>1533</v>
      </c>
      <c r="S339" s="9">
        <v>4</v>
      </c>
      <c r="T339" s="9">
        <v>15</v>
      </c>
      <c r="U339" s="9">
        <f>63+149</f>
        <v>212</v>
      </c>
    </row>
    <row r="340" spans="1:21">
      <c r="A340" s="2">
        <f t="shared" si="8"/>
        <v>2002</v>
      </c>
      <c r="B340" s="2">
        <f t="shared" si="9"/>
        <v>11</v>
      </c>
      <c r="C340" s="16">
        <f t="shared" si="13"/>
        <v>19066</v>
      </c>
      <c r="D340" s="9">
        <f>5595+3917</f>
        <v>9512</v>
      </c>
      <c r="E340" s="9">
        <f>2552+5195</f>
        <v>7747</v>
      </c>
      <c r="F340" s="9">
        <f>5+36</f>
        <v>41</v>
      </c>
      <c r="G340" s="9">
        <v>0</v>
      </c>
      <c r="H340" s="2">
        <f t="shared" si="10"/>
        <v>41</v>
      </c>
      <c r="I340" s="9">
        <v>8</v>
      </c>
      <c r="J340" s="9">
        <f>572+1186</f>
        <v>1758</v>
      </c>
      <c r="N340" s="2">
        <f t="shared" si="11"/>
        <v>2002</v>
      </c>
      <c r="O340" s="2">
        <f t="shared" si="12"/>
        <v>11</v>
      </c>
      <c r="P340" s="19">
        <f t="shared" si="7"/>
        <v>12895</v>
      </c>
      <c r="Q340" s="9">
        <f>6857+4244</f>
        <v>11101</v>
      </c>
      <c r="R340" s="9">
        <f>435+1127</f>
        <v>1562</v>
      </c>
      <c r="S340" s="9">
        <v>4</v>
      </c>
      <c r="T340" s="9">
        <v>15</v>
      </c>
      <c r="U340" s="9">
        <f>63+150</f>
        <v>213</v>
      </c>
    </row>
    <row r="341" spans="1:21">
      <c r="A341" s="2">
        <f t="shared" si="8"/>
        <v>2002</v>
      </c>
      <c r="B341" s="2">
        <f t="shared" si="9"/>
        <v>12</v>
      </c>
      <c r="C341" s="16">
        <f t="shared" si="13"/>
        <v>16282</v>
      </c>
      <c r="D341" s="9">
        <f>5213+3356</f>
        <v>8569</v>
      </c>
      <c r="E341" s="9">
        <f>2200+4103</f>
        <v>6303</v>
      </c>
      <c r="F341" s="9">
        <f>12+31</f>
        <v>43</v>
      </c>
      <c r="G341" s="9">
        <v>0</v>
      </c>
      <c r="H341" s="2">
        <f t="shared" si="10"/>
        <v>43</v>
      </c>
      <c r="I341" s="9">
        <v>8</v>
      </c>
      <c r="J341" s="9">
        <f>414+945</f>
        <v>1359</v>
      </c>
      <c r="N341" s="2">
        <f t="shared" si="11"/>
        <v>2002</v>
      </c>
      <c r="O341" s="2">
        <f t="shared" si="12"/>
        <v>12</v>
      </c>
      <c r="P341" s="19">
        <f t="shared" si="7"/>
        <v>13095</v>
      </c>
      <c r="Q341" s="9">
        <f>7029+4265</f>
        <v>11294</v>
      </c>
      <c r="R341" s="9">
        <f>437+1133</f>
        <v>1570</v>
      </c>
      <c r="S341" s="9">
        <v>4</v>
      </c>
      <c r="T341" s="9">
        <v>15</v>
      </c>
      <c r="U341" s="9">
        <f>63+149</f>
        <v>212</v>
      </c>
    </row>
    <row r="342" spans="1:21">
      <c r="A342" s="2">
        <f t="shared" si="8"/>
        <v>2003</v>
      </c>
      <c r="B342" s="2">
        <f t="shared" si="9"/>
        <v>1</v>
      </c>
      <c r="C342" s="16">
        <f t="shared" si="13"/>
        <v>20649</v>
      </c>
      <c r="D342" s="9">
        <f>7784+4822</f>
        <v>12606</v>
      </c>
      <c r="E342" s="9">
        <f>2265+4358</f>
        <v>6623</v>
      </c>
      <c r="F342" s="9">
        <f>6+29</f>
        <v>35</v>
      </c>
      <c r="G342" s="9">
        <v>0</v>
      </c>
      <c r="H342" s="2">
        <f t="shared" si="10"/>
        <v>35</v>
      </c>
      <c r="I342" s="9">
        <v>8</v>
      </c>
      <c r="J342" s="9">
        <f>393+984</f>
        <v>1377</v>
      </c>
      <c r="N342" s="2">
        <f t="shared" si="11"/>
        <v>2003</v>
      </c>
      <c r="O342" s="2">
        <f t="shared" si="12"/>
        <v>1</v>
      </c>
      <c r="P342" s="19">
        <f t="shared" si="7"/>
        <v>13264</v>
      </c>
      <c r="Q342" s="9">
        <f>7173+4288</f>
        <v>11461</v>
      </c>
      <c r="R342" s="9">
        <f>440+1129</f>
        <v>1569</v>
      </c>
      <c r="S342" s="9">
        <v>4</v>
      </c>
      <c r="T342" s="9">
        <v>15</v>
      </c>
      <c r="U342" s="9">
        <f>65+150</f>
        <v>215</v>
      </c>
    </row>
    <row r="343" spans="1:21">
      <c r="A343" s="2">
        <f t="shared" si="8"/>
        <v>2003</v>
      </c>
      <c r="B343" s="2">
        <f t="shared" si="9"/>
        <v>2</v>
      </c>
      <c r="C343" s="16">
        <f t="shared" si="13"/>
        <v>20100</v>
      </c>
      <c r="D343" s="9">
        <f>7871+4441</f>
        <v>12312</v>
      </c>
      <c r="E343" s="9">
        <f>2108+4138</f>
        <v>6246</v>
      </c>
      <c r="F343" s="9">
        <f>7+25</f>
        <v>32</v>
      </c>
      <c r="G343" s="9">
        <v>0</v>
      </c>
      <c r="H343" s="2">
        <f t="shared" si="10"/>
        <v>32</v>
      </c>
      <c r="I343" s="9">
        <v>8</v>
      </c>
      <c r="J343" s="9">
        <f>533+969</f>
        <v>1502</v>
      </c>
      <c r="N343" s="2">
        <f t="shared" si="11"/>
        <v>2003</v>
      </c>
      <c r="O343" s="2">
        <f t="shared" si="12"/>
        <v>2</v>
      </c>
      <c r="P343" s="19">
        <f t="shared" si="7"/>
        <v>13326</v>
      </c>
      <c r="Q343" s="9">
        <f>7208+4328</f>
        <v>11536</v>
      </c>
      <c r="R343" s="9">
        <f>436+1122</f>
        <v>1558</v>
      </c>
      <c r="S343" s="9">
        <f>2+2</f>
        <v>4</v>
      </c>
      <c r="T343" s="9">
        <v>15</v>
      </c>
      <c r="U343" s="9">
        <f>63+150</f>
        <v>213</v>
      </c>
    </row>
    <row r="344" spans="1:21">
      <c r="A344" s="2">
        <f t="shared" si="8"/>
        <v>2003</v>
      </c>
      <c r="B344" s="2">
        <f t="shared" si="9"/>
        <v>3</v>
      </c>
      <c r="C344" s="16">
        <f t="shared" si="13"/>
        <v>16535</v>
      </c>
      <c r="D344" s="9">
        <f>5150+3175</f>
        <v>8325</v>
      </c>
      <c r="E344" s="9">
        <f>2343+4394</f>
        <v>6737</v>
      </c>
      <c r="F344" s="9">
        <f>7+31</f>
        <v>38</v>
      </c>
      <c r="G344" s="9">
        <v>0</v>
      </c>
      <c r="H344" s="2">
        <f t="shared" si="10"/>
        <v>38</v>
      </c>
      <c r="I344" s="9">
        <v>8</v>
      </c>
      <c r="J344" s="9">
        <f>439+988</f>
        <v>1427</v>
      </c>
      <c r="N344" s="2">
        <f t="shared" si="11"/>
        <v>2003</v>
      </c>
      <c r="O344" s="2">
        <f t="shared" si="12"/>
        <v>3</v>
      </c>
      <c r="P344" s="19">
        <f t="shared" si="7"/>
        <v>13349</v>
      </c>
      <c r="Q344" s="9">
        <f>7218+4342</f>
        <v>11560</v>
      </c>
      <c r="R344" s="9">
        <f>438+1119</f>
        <v>1557</v>
      </c>
      <c r="S344" s="9">
        <v>4</v>
      </c>
      <c r="T344" s="9">
        <v>15</v>
      </c>
      <c r="U344" s="9">
        <f>63+150</f>
        <v>213</v>
      </c>
    </row>
    <row r="345" spans="1:21">
      <c r="A345" s="2">
        <f t="shared" si="8"/>
        <v>2003</v>
      </c>
      <c r="B345" s="2">
        <f t="shared" si="9"/>
        <v>4</v>
      </c>
      <c r="C345" s="16">
        <f t="shared" si="13"/>
        <v>16761</v>
      </c>
      <c r="D345" s="9">
        <f>5221+3364</f>
        <v>8585</v>
      </c>
      <c r="E345" s="9">
        <f>2181+4493</f>
        <v>6674</v>
      </c>
      <c r="F345" s="9">
        <f>7+30</f>
        <v>37</v>
      </c>
      <c r="G345" s="9">
        <v>0</v>
      </c>
      <c r="H345" s="2">
        <f t="shared" si="10"/>
        <v>37</v>
      </c>
      <c r="I345" s="9">
        <v>8</v>
      </c>
      <c r="J345" s="9">
        <f>430+1027</f>
        <v>1457</v>
      </c>
      <c r="N345" s="2">
        <f t="shared" si="11"/>
        <v>2003</v>
      </c>
      <c r="O345" s="2">
        <f t="shared" si="12"/>
        <v>4</v>
      </c>
      <c r="P345" s="19">
        <f t="shared" si="7"/>
        <v>13134</v>
      </c>
      <c r="Q345" s="9">
        <f>7040+4305</f>
        <v>11345</v>
      </c>
      <c r="R345" s="9">
        <f>435+1120</f>
        <v>1555</v>
      </c>
      <c r="S345" s="9">
        <v>4</v>
      </c>
      <c r="T345" s="9">
        <v>15</v>
      </c>
      <c r="U345" s="9">
        <f>64+151</f>
        <v>215</v>
      </c>
    </row>
    <row r="346" spans="1:21">
      <c r="A346" s="2">
        <f t="shared" si="8"/>
        <v>2003</v>
      </c>
      <c r="B346" s="2">
        <f t="shared" si="9"/>
        <v>5</v>
      </c>
      <c r="C346" s="16">
        <f t="shared" si="13"/>
        <v>19128</v>
      </c>
      <c r="D346" s="9">
        <f>5474+4288</f>
        <v>9762</v>
      </c>
      <c r="E346" s="9">
        <f>2385+5167</f>
        <v>7552</v>
      </c>
      <c r="F346" s="9">
        <f>8+32</f>
        <v>40</v>
      </c>
      <c r="G346" s="9">
        <v>0</v>
      </c>
      <c r="H346" s="2">
        <f t="shared" si="10"/>
        <v>40</v>
      </c>
      <c r="I346" s="9">
        <v>8</v>
      </c>
      <c r="J346" s="9">
        <f>502+1264</f>
        <v>1766</v>
      </c>
      <c r="N346" s="2">
        <f t="shared" si="11"/>
        <v>2003</v>
      </c>
      <c r="O346" s="2">
        <f t="shared" si="12"/>
        <v>5</v>
      </c>
      <c r="P346" s="19">
        <f t="shared" si="7"/>
        <v>12995</v>
      </c>
      <c r="Q346" s="9">
        <f>6925+4305</f>
        <v>11230</v>
      </c>
      <c r="R346" s="9">
        <f>417+1115</f>
        <v>1532</v>
      </c>
      <c r="S346" s="9">
        <v>4</v>
      </c>
      <c r="T346" s="9">
        <v>15</v>
      </c>
      <c r="U346" s="9">
        <f>63+151</f>
        <v>214</v>
      </c>
    </row>
    <row r="347" spans="1:21">
      <c r="A347" s="2">
        <f t="shared" si="8"/>
        <v>2003</v>
      </c>
      <c r="B347" s="2">
        <f t="shared" si="9"/>
        <v>6</v>
      </c>
      <c r="C347" s="16">
        <f t="shared" si="13"/>
        <v>20268</v>
      </c>
      <c r="D347" s="9">
        <f>6089+4642</f>
        <v>10731</v>
      </c>
      <c r="E347" s="9">
        <f>2419+5279</f>
        <v>7698</v>
      </c>
      <c r="F347" s="9">
        <f>50+72</f>
        <v>122</v>
      </c>
      <c r="G347" s="9">
        <v>0</v>
      </c>
      <c r="H347" s="2">
        <f t="shared" si="10"/>
        <v>122</v>
      </c>
      <c r="I347" s="9">
        <v>8</v>
      </c>
      <c r="J347" s="9">
        <f>548+1161</f>
        <v>1709</v>
      </c>
      <c r="N347" s="2">
        <f t="shared" si="11"/>
        <v>2003</v>
      </c>
      <c r="O347" s="2">
        <f t="shared" si="12"/>
        <v>6</v>
      </c>
      <c r="P347" s="19">
        <f t="shared" si="7"/>
        <v>12968</v>
      </c>
      <c r="Q347" s="9">
        <f>6912+4285</f>
        <v>11197</v>
      </c>
      <c r="R347" s="9">
        <f>416+1120</f>
        <v>1536</v>
      </c>
      <c r="S347" s="9">
        <v>6</v>
      </c>
      <c r="T347" s="9">
        <v>15</v>
      </c>
      <c r="U347" s="9">
        <f>63+151</f>
        <v>214</v>
      </c>
    </row>
    <row r="348" spans="1:21">
      <c r="A348" s="2">
        <f t="shared" si="8"/>
        <v>2003</v>
      </c>
      <c r="B348" s="2">
        <f t="shared" si="9"/>
        <v>7</v>
      </c>
      <c r="C348" s="16">
        <f t="shared" si="13"/>
        <v>20292</v>
      </c>
      <c r="D348" s="9">
        <f>6047+4740</f>
        <v>10787</v>
      </c>
      <c r="E348" s="9">
        <f>2463+5344</f>
        <v>7807</v>
      </c>
      <c r="F348" s="9">
        <f>14+35</f>
        <v>49</v>
      </c>
      <c r="G348" s="9">
        <v>0</v>
      </c>
      <c r="H348" s="2">
        <f t="shared" si="10"/>
        <v>49</v>
      </c>
      <c r="I348" s="9">
        <v>8</v>
      </c>
      <c r="J348" s="9">
        <f>477+1164</f>
        <v>1641</v>
      </c>
      <c r="N348" s="2">
        <f t="shared" si="11"/>
        <v>2003</v>
      </c>
      <c r="O348" s="2">
        <f t="shared" si="12"/>
        <v>7</v>
      </c>
      <c r="P348" s="19">
        <f t="shared" si="7"/>
        <v>12943</v>
      </c>
      <c r="Q348" s="9">
        <f>6896+4282</f>
        <v>11178</v>
      </c>
      <c r="R348" s="9">
        <f>411+1120</f>
        <v>1531</v>
      </c>
      <c r="S348" s="9">
        <f>3+4</f>
        <v>7</v>
      </c>
      <c r="T348" s="9">
        <v>15</v>
      </c>
      <c r="U348" s="9">
        <f>62+150</f>
        <v>212</v>
      </c>
    </row>
    <row r="349" spans="1:21">
      <c r="A349" s="2">
        <f t="shared" si="8"/>
        <v>2003</v>
      </c>
      <c r="B349" s="2">
        <f t="shared" si="9"/>
        <v>8</v>
      </c>
      <c r="C349" s="16">
        <f t="shared" si="13"/>
        <v>19260</v>
      </c>
      <c r="D349" s="9">
        <f>5622+4531</f>
        <v>10153</v>
      </c>
      <c r="E349" s="9">
        <f>2292+5245</f>
        <v>7537</v>
      </c>
      <c r="F349" s="9">
        <f>14+40</f>
        <v>54</v>
      </c>
      <c r="G349" s="9">
        <v>0</v>
      </c>
      <c r="H349" s="2">
        <f t="shared" si="10"/>
        <v>54</v>
      </c>
      <c r="I349" s="9">
        <v>8</v>
      </c>
      <c r="J349" s="9">
        <f>416+1092</f>
        <v>1508</v>
      </c>
      <c r="N349" s="2">
        <f t="shared" si="11"/>
        <v>2003</v>
      </c>
      <c r="O349" s="2">
        <f t="shared" si="12"/>
        <v>8</v>
      </c>
      <c r="P349" s="19">
        <f t="shared" si="7"/>
        <v>12945</v>
      </c>
      <c r="Q349" s="9">
        <f>6899+4283</f>
        <v>11182</v>
      </c>
      <c r="R349" s="9">
        <f>413+1117</f>
        <v>1530</v>
      </c>
      <c r="S349" s="9">
        <v>7</v>
      </c>
      <c r="T349" s="9">
        <v>15</v>
      </c>
      <c r="U349" s="9">
        <f>62+149</f>
        <v>211</v>
      </c>
    </row>
    <row r="350" spans="1:21">
      <c r="A350" s="2">
        <f t="shared" si="8"/>
        <v>2003</v>
      </c>
      <c r="B350" s="2">
        <f t="shared" si="9"/>
        <v>9</v>
      </c>
      <c r="C350" s="16">
        <f t="shared" si="13"/>
        <v>21462</v>
      </c>
      <c r="D350" s="9">
        <f>6258+4892</f>
        <v>11150</v>
      </c>
      <c r="E350" s="9">
        <f>2594+5734</f>
        <v>8328</v>
      </c>
      <c r="F350" s="9">
        <f>14+39</f>
        <v>53</v>
      </c>
      <c r="G350" s="9">
        <v>0</v>
      </c>
      <c r="H350" s="2">
        <f t="shared" si="10"/>
        <v>53</v>
      </c>
      <c r="I350" s="9">
        <v>8</v>
      </c>
      <c r="J350" s="9">
        <f>638+1285</f>
        <v>1923</v>
      </c>
      <c r="N350" s="2">
        <f t="shared" si="11"/>
        <v>2003</v>
      </c>
      <c r="O350" s="2">
        <f t="shared" si="12"/>
        <v>9</v>
      </c>
      <c r="P350" s="19">
        <f t="shared" si="7"/>
        <v>12959</v>
      </c>
      <c r="Q350" s="9">
        <f>6906+4288</f>
        <v>11194</v>
      </c>
      <c r="R350" s="9">
        <f>414+1118</f>
        <v>1532</v>
      </c>
      <c r="S350" s="9">
        <v>7</v>
      </c>
      <c r="T350" s="9">
        <v>15</v>
      </c>
      <c r="U350" s="9">
        <f>63+148</f>
        <v>211</v>
      </c>
    </row>
    <row r="351" spans="1:21">
      <c r="A351" s="2">
        <f t="shared" si="8"/>
        <v>2003</v>
      </c>
      <c r="B351" s="2">
        <f t="shared" si="9"/>
        <v>10</v>
      </c>
      <c r="C351" s="16">
        <f t="shared" si="13"/>
        <v>19024</v>
      </c>
      <c r="D351" s="9">
        <f>5636+4197</f>
        <v>9833</v>
      </c>
      <c r="E351" s="9">
        <f>2305+5115</f>
        <v>7420</v>
      </c>
      <c r="F351" s="9">
        <f>14+33</f>
        <v>47</v>
      </c>
      <c r="G351" s="9">
        <v>0</v>
      </c>
      <c r="H351" s="2">
        <f t="shared" si="10"/>
        <v>47</v>
      </c>
      <c r="I351" s="9">
        <v>8</v>
      </c>
      <c r="J351" s="9">
        <f>538+1178</f>
        <v>1716</v>
      </c>
      <c r="N351" s="2">
        <f t="shared" si="11"/>
        <v>2003</v>
      </c>
      <c r="O351" s="2">
        <f t="shared" si="12"/>
        <v>10</v>
      </c>
      <c r="P351" s="19">
        <f t="shared" si="7"/>
        <v>12973</v>
      </c>
      <c r="Q351" s="9">
        <f>6909+4284</f>
        <v>11193</v>
      </c>
      <c r="R351" s="9">
        <f>422+1125</f>
        <v>1547</v>
      </c>
      <c r="S351" s="9">
        <v>6</v>
      </c>
      <c r="T351" s="9">
        <v>15</v>
      </c>
      <c r="U351" s="9">
        <f>63+149</f>
        <v>212</v>
      </c>
    </row>
    <row r="352" spans="1:21">
      <c r="A352" s="2">
        <f t="shared" si="8"/>
        <v>2003</v>
      </c>
      <c r="B352" s="2">
        <f t="shared" si="9"/>
        <v>11</v>
      </c>
      <c r="C352" s="16">
        <f t="shared" si="13"/>
        <v>17729</v>
      </c>
      <c r="D352" s="9">
        <f>5018+3691</f>
        <v>8709</v>
      </c>
      <c r="E352" s="9">
        <f>2235+5062</f>
        <v>7297</v>
      </c>
      <c r="F352" s="9">
        <f>13+33</f>
        <v>46</v>
      </c>
      <c r="G352" s="9">
        <v>0</v>
      </c>
      <c r="H352" s="2">
        <f t="shared" si="10"/>
        <v>46</v>
      </c>
      <c r="I352" s="9">
        <v>8</v>
      </c>
      <c r="J352" s="9">
        <f>469+1200</f>
        <v>1669</v>
      </c>
      <c r="N352" s="2">
        <f t="shared" si="11"/>
        <v>2003</v>
      </c>
      <c r="O352" s="2">
        <f t="shared" si="12"/>
        <v>11</v>
      </c>
      <c r="P352" s="19">
        <f t="shared" si="7"/>
        <v>13095</v>
      </c>
      <c r="Q352" s="9">
        <f>7014+4282</f>
        <v>11296</v>
      </c>
      <c r="R352" s="9">
        <f>430+1138</f>
        <v>1568</v>
      </c>
      <c r="S352" s="9">
        <v>5</v>
      </c>
      <c r="T352" s="9">
        <v>15</v>
      </c>
      <c r="U352" s="9">
        <f>63+148</f>
        <v>211</v>
      </c>
    </row>
    <row r="353" spans="1:21">
      <c r="A353" s="2">
        <f t="shared" si="8"/>
        <v>2003</v>
      </c>
      <c r="B353" s="2">
        <f t="shared" si="9"/>
        <v>12</v>
      </c>
      <c r="C353" s="16">
        <f t="shared" si="13"/>
        <v>15978</v>
      </c>
      <c r="D353" s="9">
        <f>5058+3327</f>
        <v>8385</v>
      </c>
      <c r="E353" s="9">
        <f>2085+4025</f>
        <v>6110</v>
      </c>
      <c r="F353" s="9">
        <f>12+28</f>
        <v>40</v>
      </c>
      <c r="G353" s="9">
        <v>0</v>
      </c>
      <c r="H353" s="2">
        <f t="shared" si="10"/>
        <v>40</v>
      </c>
      <c r="I353" s="9">
        <v>8</v>
      </c>
      <c r="J353" s="9">
        <f>469+966</f>
        <v>1435</v>
      </c>
      <c r="N353" s="2">
        <f t="shared" si="11"/>
        <v>2003</v>
      </c>
      <c r="O353" s="2">
        <f t="shared" si="12"/>
        <v>12</v>
      </c>
      <c r="P353" s="19">
        <f t="shared" si="7"/>
        <v>13224</v>
      </c>
      <c r="Q353" s="9">
        <f>7102+4320</f>
        <v>11422</v>
      </c>
      <c r="R353" s="9">
        <f>434+1136</f>
        <v>1570</v>
      </c>
      <c r="S353" s="9">
        <v>5</v>
      </c>
      <c r="T353" s="9">
        <v>15</v>
      </c>
      <c r="U353" s="9">
        <f>63+149</f>
        <v>212</v>
      </c>
    </row>
    <row r="354" spans="1:21">
      <c r="A354" s="2">
        <f t="shared" si="8"/>
        <v>2004</v>
      </c>
      <c r="B354" s="2">
        <f t="shared" si="9"/>
        <v>1</v>
      </c>
      <c r="C354" s="16">
        <f t="shared" si="13"/>
        <v>19837</v>
      </c>
      <c r="D354" s="9">
        <f>7048+4528</f>
        <v>11576</v>
      </c>
      <c r="E354" s="9">
        <f>2259+4468</f>
        <v>6727</v>
      </c>
      <c r="F354" s="9">
        <f>11+24</f>
        <v>35</v>
      </c>
      <c r="G354" s="9">
        <v>0</v>
      </c>
      <c r="H354" s="2">
        <f t="shared" si="10"/>
        <v>35</v>
      </c>
      <c r="I354" s="9">
        <v>8</v>
      </c>
      <c r="J354" s="9">
        <f>413+1078</f>
        <v>1491</v>
      </c>
      <c r="N354" s="2">
        <f t="shared" si="11"/>
        <v>2004</v>
      </c>
      <c r="O354" s="2">
        <f t="shared" si="12"/>
        <v>1</v>
      </c>
      <c r="P354" s="19">
        <f t="shared" si="7"/>
        <v>13333</v>
      </c>
      <c r="Q354" s="9">
        <f>7201+4341</f>
        <v>11542</v>
      </c>
      <c r="R354" s="9">
        <f>431+1128</f>
        <v>1559</v>
      </c>
      <c r="S354" s="9">
        <v>5</v>
      </c>
      <c r="T354" s="9">
        <v>15</v>
      </c>
      <c r="U354" s="9">
        <f>64+148</f>
        <v>212</v>
      </c>
    </row>
    <row r="355" spans="1:21">
      <c r="A355" s="2">
        <f t="shared" si="8"/>
        <v>2004</v>
      </c>
      <c r="B355" s="2">
        <f t="shared" si="9"/>
        <v>2</v>
      </c>
      <c r="C355" s="16">
        <f t="shared" si="13"/>
        <v>17339</v>
      </c>
      <c r="D355" s="9">
        <f>6295+3538</f>
        <v>9833</v>
      </c>
      <c r="E355" s="9">
        <f>2118+3938</f>
        <v>6056</v>
      </c>
      <c r="F355" s="9">
        <f>12+21</f>
        <v>33</v>
      </c>
      <c r="G355" s="9">
        <v>0</v>
      </c>
      <c r="H355" s="2">
        <f t="shared" si="10"/>
        <v>33</v>
      </c>
      <c r="I355" s="9">
        <v>8</v>
      </c>
      <c r="J355" s="9">
        <f>441+968</f>
        <v>1409</v>
      </c>
      <c r="N355" s="2">
        <f t="shared" si="11"/>
        <v>2004</v>
      </c>
      <c r="O355" s="2">
        <f t="shared" si="12"/>
        <v>2</v>
      </c>
      <c r="P355" s="19">
        <f t="shared" si="7"/>
        <v>13426</v>
      </c>
      <c r="Q355" s="9">
        <f>7250+4370</f>
        <v>11620</v>
      </c>
      <c r="R355" s="9">
        <f>434+1141</f>
        <v>1575</v>
      </c>
      <c r="S355" s="9">
        <f>5</f>
        <v>5</v>
      </c>
      <c r="T355" s="9">
        <f>15</f>
        <v>15</v>
      </c>
      <c r="U355" s="9">
        <f>63+148</f>
        <v>211</v>
      </c>
    </row>
    <row r="356" spans="1:21">
      <c r="A356" s="2">
        <f t="shared" si="8"/>
        <v>2004</v>
      </c>
      <c r="B356" s="2">
        <f t="shared" si="9"/>
        <v>3</v>
      </c>
      <c r="C356" s="16">
        <f t="shared" si="13"/>
        <v>16507</v>
      </c>
      <c r="D356" s="9">
        <f>5615+3289</f>
        <v>8904</v>
      </c>
      <c r="E356" s="9">
        <f>2031+4104</f>
        <v>6135</v>
      </c>
      <c r="F356" s="9">
        <f>13+25</f>
        <v>38</v>
      </c>
      <c r="G356" s="9">
        <v>0</v>
      </c>
      <c r="H356" s="2">
        <f t="shared" si="10"/>
        <v>38</v>
      </c>
      <c r="I356" s="9">
        <v>8</v>
      </c>
      <c r="J356" s="9">
        <f>455+967</f>
        <v>1422</v>
      </c>
      <c r="N356" s="2">
        <f t="shared" si="11"/>
        <v>2004</v>
      </c>
      <c r="O356" s="2">
        <f t="shared" si="12"/>
        <v>3</v>
      </c>
      <c r="P356" s="19">
        <f t="shared" si="7"/>
        <v>13454</v>
      </c>
      <c r="Q356" s="9">
        <f>7258+4380</f>
        <v>11638</v>
      </c>
      <c r="R356" s="9">
        <f>436+1147</f>
        <v>1583</v>
      </c>
      <c r="S356" s="9">
        <v>5</v>
      </c>
      <c r="T356" s="9">
        <v>15</v>
      </c>
      <c r="U356" s="9">
        <f>63+150</f>
        <v>213</v>
      </c>
    </row>
    <row r="357" spans="1:21">
      <c r="A357" s="2">
        <f t="shared" si="8"/>
        <v>2004</v>
      </c>
      <c r="B357" s="2">
        <f t="shared" si="9"/>
        <v>4</v>
      </c>
      <c r="C357" s="16">
        <f t="shared" si="13"/>
        <v>15830</v>
      </c>
      <c r="D357" s="9">
        <f>4668+3153</f>
        <v>7821</v>
      </c>
      <c r="E357" s="9">
        <f>2070+4428</f>
        <v>6498</v>
      </c>
      <c r="F357" s="9">
        <f>11+26</f>
        <v>37</v>
      </c>
      <c r="G357" s="9">
        <v>0</v>
      </c>
      <c r="H357" s="2">
        <f t="shared" si="10"/>
        <v>37</v>
      </c>
      <c r="I357" s="9">
        <v>8</v>
      </c>
      <c r="J357" s="9">
        <f>466+1000</f>
        <v>1466</v>
      </c>
      <c r="N357" s="2">
        <f t="shared" si="11"/>
        <v>2004</v>
      </c>
      <c r="O357" s="2">
        <f t="shared" si="12"/>
        <v>4</v>
      </c>
      <c r="P357" s="19">
        <f t="shared" si="7"/>
        <v>13303</v>
      </c>
      <c r="Q357" s="9">
        <f>7135+4352</f>
        <v>11487</v>
      </c>
      <c r="R357" s="9">
        <f>442+1143</f>
        <v>1585</v>
      </c>
      <c r="S357" s="9">
        <v>5</v>
      </c>
      <c r="T357" s="9">
        <v>15</v>
      </c>
      <c r="U357" s="9">
        <f>63+148</f>
        <v>211</v>
      </c>
    </row>
    <row r="358" spans="1:21">
      <c r="A358" s="2">
        <f t="shared" si="8"/>
        <v>2004</v>
      </c>
      <c r="B358" s="2">
        <f t="shared" si="9"/>
        <v>5</v>
      </c>
      <c r="C358" s="16">
        <f t="shared" si="13"/>
        <v>18049</v>
      </c>
      <c r="D358" s="9">
        <f>4710+3439</f>
        <v>8149</v>
      </c>
      <c r="E358" s="9">
        <f>2075+6218</f>
        <v>8293</v>
      </c>
      <c r="F358" s="9">
        <f>13+30</f>
        <v>43</v>
      </c>
      <c r="G358" s="9">
        <v>0</v>
      </c>
      <c r="H358" s="2">
        <f t="shared" ref="H358:H375" si="14">F358-G358</f>
        <v>43</v>
      </c>
      <c r="I358" s="9">
        <v>8</v>
      </c>
      <c r="J358" s="9">
        <f>501+1055</f>
        <v>1556</v>
      </c>
      <c r="N358" s="2">
        <f t="shared" si="11"/>
        <v>2004</v>
      </c>
      <c r="O358" s="2">
        <f t="shared" si="12"/>
        <v>5</v>
      </c>
      <c r="P358" s="19">
        <f t="shared" si="7"/>
        <v>13189</v>
      </c>
      <c r="Q358" s="9">
        <f>7051+4313</f>
        <v>11364</v>
      </c>
      <c r="R358" s="9">
        <f>436+1153</f>
        <v>1589</v>
      </c>
      <c r="S358" s="9">
        <v>5</v>
      </c>
      <c r="T358" s="9">
        <v>15</v>
      </c>
      <c r="U358" s="9">
        <f>63+153</f>
        <v>216</v>
      </c>
    </row>
    <row r="359" spans="1:21">
      <c r="A359" s="2">
        <f t="shared" si="8"/>
        <v>2004</v>
      </c>
      <c r="B359" s="2">
        <f t="shared" si="9"/>
        <v>6</v>
      </c>
      <c r="C359" s="16">
        <f t="shared" si="13"/>
        <v>19109</v>
      </c>
      <c r="D359" s="9">
        <f>6135+4818</f>
        <v>10953</v>
      </c>
      <c r="E359" s="9">
        <f>2512+3941</f>
        <v>6453</v>
      </c>
      <c r="F359" s="9">
        <f>13+33</f>
        <v>46</v>
      </c>
      <c r="G359" s="9">
        <v>0</v>
      </c>
      <c r="H359" s="2">
        <f t="shared" si="14"/>
        <v>46</v>
      </c>
      <c r="I359" s="9">
        <v>8</v>
      </c>
      <c r="J359" s="9">
        <f>546+1103</f>
        <v>1649</v>
      </c>
      <c r="N359" s="2">
        <f t="shared" si="11"/>
        <v>2004</v>
      </c>
      <c r="O359" s="2">
        <f t="shared" si="12"/>
        <v>6</v>
      </c>
      <c r="P359" s="19">
        <f t="shared" si="7"/>
        <v>13164</v>
      </c>
      <c r="Q359" s="9">
        <f>7045+4309</f>
        <v>11354</v>
      </c>
      <c r="R359" s="9">
        <f>424+1153</f>
        <v>1577</v>
      </c>
      <c r="S359" s="9">
        <v>5</v>
      </c>
      <c r="T359" s="9">
        <v>15</v>
      </c>
      <c r="U359" s="9">
        <f>63+150</f>
        <v>213</v>
      </c>
    </row>
    <row r="360" spans="1:21">
      <c r="A360" s="2">
        <f t="shared" si="8"/>
        <v>2004</v>
      </c>
      <c r="B360" s="2">
        <f t="shared" si="9"/>
        <v>7</v>
      </c>
      <c r="C360" s="16">
        <f t="shared" si="13"/>
        <v>22076</v>
      </c>
      <c r="D360" s="9">
        <f>6735+5433</f>
        <v>12168</v>
      </c>
      <c r="E360" s="9">
        <f>2416+5716</f>
        <v>8132</v>
      </c>
      <c r="F360" s="9">
        <f>13+39</f>
        <v>52</v>
      </c>
      <c r="G360" s="9">
        <v>0</v>
      </c>
      <c r="H360" s="2">
        <f t="shared" si="14"/>
        <v>52</v>
      </c>
      <c r="I360" s="9">
        <v>8</v>
      </c>
      <c r="J360" s="9">
        <f>547+1169</f>
        <v>1716</v>
      </c>
      <c r="N360" s="2">
        <f t="shared" si="11"/>
        <v>2004</v>
      </c>
      <c r="O360" s="2">
        <f t="shared" si="12"/>
        <v>7</v>
      </c>
      <c r="P360" s="19">
        <f t="shared" si="7"/>
        <v>13119</v>
      </c>
      <c r="Q360" s="9">
        <f>7029+4286</f>
        <v>11315</v>
      </c>
      <c r="R360" s="9">
        <f>423+1144</f>
        <v>1567</v>
      </c>
      <c r="S360" s="9">
        <f>3+2</f>
        <v>5</v>
      </c>
      <c r="T360" s="9">
        <v>15</v>
      </c>
      <c r="U360" s="9">
        <f>63+154</f>
        <v>217</v>
      </c>
    </row>
    <row r="361" spans="1:21">
      <c r="A361" s="2">
        <f t="shared" si="8"/>
        <v>2004</v>
      </c>
      <c r="B361" s="2">
        <f t="shared" si="9"/>
        <v>8</v>
      </c>
      <c r="C361" s="16">
        <f t="shared" si="13"/>
        <v>21027</v>
      </c>
      <c r="D361" s="9">
        <f>6212+4957</f>
        <v>11169</v>
      </c>
      <c r="E361" s="9">
        <f>2598+5536</f>
        <v>8134</v>
      </c>
      <c r="F361" s="9">
        <f>14+34</f>
        <v>48</v>
      </c>
      <c r="G361" s="9">
        <v>0</v>
      </c>
      <c r="H361" s="2">
        <f t="shared" si="14"/>
        <v>48</v>
      </c>
      <c r="I361" s="9">
        <v>8</v>
      </c>
      <c r="J361" s="9">
        <f>510+1158</f>
        <v>1668</v>
      </c>
      <c r="N361" s="2">
        <f t="shared" si="11"/>
        <v>2004</v>
      </c>
      <c r="O361" s="2">
        <f t="shared" si="12"/>
        <v>8</v>
      </c>
      <c r="P361" s="19">
        <f t="shared" si="7"/>
        <v>13133</v>
      </c>
      <c r="Q361" s="9">
        <f>7044+4286</f>
        <v>11330</v>
      </c>
      <c r="R361" s="9">
        <f>425+1141</f>
        <v>1566</v>
      </c>
      <c r="S361" s="9">
        <v>5</v>
      </c>
      <c r="T361" s="9">
        <v>15</v>
      </c>
      <c r="U361" s="9">
        <f>61+156</f>
        <v>217</v>
      </c>
    </row>
    <row r="362" spans="1:21">
      <c r="A362" s="2">
        <f t="shared" si="8"/>
        <v>2004</v>
      </c>
      <c r="B362" s="2">
        <f t="shared" si="9"/>
        <v>9</v>
      </c>
      <c r="C362" s="16">
        <f t="shared" si="13"/>
        <v>18357</v>
      </c>
      <c r="D362" s="9">
        <f>5499+4138</f>
        <v>9637</v>
      </c>
      <c r="E362" s="9">
        <f>2217+4966</f>
        <v>7183</v>
      </c>
      <c r="F362" s="9">
        <f>11+33</f>
        <v>44</v>
      </c>
      <c r="G362" s="9">
        <v>0</v>
      </c>
      <c r="H362" s="2">
        <f t="shared" si="14"/>
        <v>44</v>
      </c>
      <c r="I362" s="9">
        <v>8</v>
      </c>
      <c r="J362" s="9">
        <f>442+1043</f>
        <v>1485</v>
      </c>
      <c r="N362" s="2">
        <f t="shared" si="11"/>
        <v>2004</v>
      </c>
      <c r="O362" s="2">
        <f t="shared" si="12"/>
        <v>9</v>
      </c>
      <c r="P362" s="19">
        <f t="shared" si="7"/>
        <v>13353</v>
      </c>
      <c r="Q362" s="9">
        <f>7072+4430</f>
        <v>11502</v>
      </c>
      <c r="R362" s="9">
        <f>443+1166</f>
        <v>1609</v>
      </c>
      <c r="S362" s="9">
        <v>5</v>
      </c>
      <c r="T362" s="9">
        <v>15</v>
      </c>
      <c r="U362" s="9">
        <f>63+159</f>
        <v>222</v>
      </c>
    </row>
    <row r="363" spans="1:21">
      <c r="A363" s="2">
        <f t="shared" si="8"/>
        <v>2004</v>
      </c>
      <c r="B363" s="2">
        <f t="shared" si="9"/>
        <v>10</v>
      </c>
      <c r="C363" s="16">
        <f t="shared" si="13"/>
        <v>18339</v>
      </c>
      <c r="D363" s="9">
        <f>5439+4169</f>
        <v>9608</v>
      </c>
      <c r="E363" s="9">
        <f>2220+4722</f>
        <v>6942</v>
      </c>
      <c r="F363" s="9">
        <f>9+31</f>
        <v>40</v>
      </c>
      <c r="G363" s="9">
        <v>0</v>
      </c>
      <c r="H363" s="2">
        <f t="shared" si="14"/>
        <v>40</v>
      </c>
      <c r="I363" s="9">
        <v>8</v>
      </c>
      <c r="J363" s="9">
        <f>633+1108</f>
        <v>1741</v>
      </c>
      <c r="N363" s="2">
        <f t="shared" si="11"/>
        <v>2004</v>
      </c>
      <c r="O363" s="2">
        <f t="shared" si="12"/>
        <v>10</v>
      </c>
      <c r="P363" s="19">
        <f t="shared" si="7"/>
        <v>13146</v>
      </c>
      <c r="Q363" s="9">
        <f>7034+4316</f>
        <v>11350</v>
      </c>
      <c r="R363" s="9">
        <f>435+1119</f>
        <v>1554</v>
      </c>
      <c r="S363" s="9">
        <v>5</v>
      </c>
      <c r="T363" s="9">
        <v>15</v>
      </c>
      <c r="U363" s="9">
        <f>62+160</f>
        <v>222</v>
      </c>
    </row>
    <row r="364" spans="1:21">
      <c r="A364" s="2">
        <f t="shared" si="8"/>
        <v>2004</v>
      </c>
      <c r="B364" s="2">
        <f t="shared" si="9"/>
        <v>11</v>
      </c>
      <c r="C364" s="16">
        <f t="shared" si="13"/>
        <v>17140</v>
      </c>
      <c r="D364" s="9">
        <f>4805+3659</f>
        <v>8464</v>
      </c>
      <c r="E364" s="9">
        <f>2284+4746</f>
        <v>7030</v>
      </c>
      <c r="F364" s="9">
        <f>12+29</f>
        <v>41</v>
      </c>
      <c r="G364" s="9">
        <v>0</v>
      </c>
      <c r="H364" s="2">
        <f t="shared" si="14"/>
        <v>41</v>
      </c>
      <c r="I364" s="9">
        <v>8</v>
      </c>
      <c r="J364" s="9">
        <f>514+1083</f>
        <v>1597</v>
      </c>
      <c r="N364" s="2">
        <f t="shared" si="11"/>
        <v>2004</v>
      </c>
      <c r="O364" s="2">
        <f t="shared" si="12"/>
        <v>11</v>
      </c>
      <c r="P364" s="19">
        <f t="shared" si="7"/>
        <v>13209</v>
      </c>
      <c r="Q364" s="9">
        <f>7062+4340</f>
        <v>11402</v>
      </c>
      <c r="R364" s="9">
        <f>441+1127</f>
        <v>1568</v>
      </c>
      <c r="S364" s="9">
        <v>5</v>
      </c>
      <c r="T364" s="9">
        <v>15</v>
      </c>
      <c r="U364" s="9">
        <f>62+157</f>
        <v>219</v>
      </c>
    </row>
    <row r="365" spans="1:21">
      <c r="A365" s="2">
        <f t="shared" si="8"/>
        <v>2004</v>
      </c>
      <c r="B365" s="2">
        <f t="shared" si="9"/>
        <v>12</v>
      </c>
      <c r="C365" s="16">
        <f t="shared" si="13"/>
        <v>16437</v>
      </c>
      <c r="D365" s="9">
        <f>4734+3132</f>
        <v>7866</v>
      </c>
      <c r="E365" s="9">
        <f>2363+4546</f>
        <v>6909</v>
      </c>
      <c r="F365" s="9">
        <f>12+25</f>
        <v>37</v>
      </c>
      <c r="G365" s="9">
        <v>0</v>
      </c>
      <c r="H365" s="2">
        <f t="shared" si="14"/>
        <v>37</v>
      </c>
      <c r="I365" s="9">
        <v>8</v>
      </c>
      <c r="J365" s="9">
        <f>493+1124</f>
        <v>1617</v>
      </c>
      <c r="N365" s="2">
        <f t="shared" si="11"/>
        <v>2004</v>
      </c>
      <c r="O365" s="2">
        <f t="shared" si="12"/>
        <v>12</v>
      </c>
      <c r="P365" s="19">
        <f t="shared" si="7"/>
        <v>13312</v>
      </c>
      <c r="Q365" s="9">
        <f>7160+4368</f>
        <v>11528</v>
      </c>
      <c r="R365" s="9">
        <f>437+1109</f>
        <v>1546</v>
      </c>
      <c r="S365" s="9">
        <v>5</v>
      </c>
      <c r="T365" s="9">
        <v>15</v>
      </c>
      <c r="U365" s="9">
        <f>62+156</f>
        <v>218</v>
      </c>
    </row>
    <row r="366" spans="1:21">
      <c r="A366" s="2">
        <f t="shared" si="8"/>
        <v>2005</v>
      </c>
      <c r="B366" s="2">
        <f t="shared" si="9"/>
        <v>1</v>
      </c>
      <c r="C366" s="16">
        <f t="shared" si="13"/>
        <v>20177</v>
      </c>
      <c r="D366" s="9">
        <f>6975+4539</f>
        <v>11514</v>
      </c>
      <c r="E366" s="9">
        <f>2350+4578</f>
        <v>6928</v>
      </c>
      <c r="F366" s="9">
        <f>11+23</f>
        <v>34</v>
      </c>
      <c r="G366" s="9">
        <v>0</v>
      </c>
      <c r="H366" s="2">
        <f t="shared" si="14"/>
        <v>34</v>
      </c>
      <c r="I366" s="9">
        <v>8</v>
      </c>
      <c r="J366" s="9">
        <f>448+1245</f>
        <v>1693</v>
      </c>
      <c r="N366" s="2">
        <f t="shared" si="11"/>
        <v>2005</v>
      </c>
      <c r="O366" s="2">
        <f t="shared" si="12"/>
        <v>1</v>
      </c>
      <c r="P366" s="19">
        <f t="shared" si="7"/>
        <v>13415</v>
      </c>
      <c r="Q366" s="9">
        <f>7252+4379</f>
        <v>11631</v>
      </c>
      <c r="R366" s="9">
        <f>428+1113</f>
        <v>1541</v>
      </c>
      <c r="S366" s="9">
        <v>5</v>
      </c>
      <c r="T366" s="9">
        <v>15</v>
      </c>
      <c r="U366" s="9">
        <f>62+161</f>
        <v>223</v>
      </c>
    </row>
    <row r="367" spans="1:21">
      <c r="A367" s="2">
        <f t="shared" si="8"/>
        <v>2005</v>
      </c>
      <c r="B367" s="2">
        <f t="shared" si="9"/>
        <v>2</v>
      </c>
      <c r="C367" s="16">
        <f t="shared" si="13"/>
        <v>17709</v>
      </c>
      <c r="D367" s="9">
        <f>6480+3860</f>
        <v>10340</v>
      </c>
      <c r="E367" s="9">
        <f>1993+3837</f>
        <v>5830</v>
      </c>
      <c r="F367" s="9">
        <f>12+18</f>
        <v>30</v>
      </c>
      <c r="G367" s="9">
        <v>0</v>
      </c>
      <c r="H367" s="2">
        <f t="shared" si="14"/>
        <v>30</v>
      </c>
      <c r="I367" s="9">
        <v>8</v>
      </c>
      <c r="J367" s="9">
        <f>478+1023</f>
        <v>1501</v>
      </c>
      <c r="N367" s="2">
        <f t="shared" si="11"/>
        <v>2005</v>
      </c>
      <c r="O367" s="2">
        <f t="shared" si="12"/>
        <v>2</v>
      </c>
      <c r="P367" s="19">
        <f t="shared" si="7"/>
        <v>13495</v>
      </c>
      <c r="Q367" s="9">
        <f>7302+4383</f>
        <v>11685</v>
      </c>
      <c r="R367" s="9">
        <f>434+1131</f>
        <v>1565</v>
      </c>
      <c r="S367" s="9">
        <f>3+2</f>
        <v>5</v>
      </c>
      <c r="T367" s="9">
        <v>15</v>
      </c>
      <c r="U367" s="9">
        <f>62+163</f>
        <v>225</v>
      </c>
    </row>
    <row r="368" spans="1:21">
      <c r="A368" s="2">
        <f t="shared" si="8"/>
        <v>2005</v>
      </c>
      <c r="B368" s="2">
        <f t="shared" si="9"/>
        <v>3</v>
      </c>
      <c r="C368" s="16">
        <f t="shared" si="13"/>
        <v>16979</v>
      </c>
      <c r="D368" s="9">
        <f>5766+3341</f>
        <v>9107</v>
      </c>
      <c r="E368" s="9">
        <f>2212+4154</f>
        <v>6366</v>
      </c>
      <c r="F368" s="9">
        <v>31</v>
      </c>
      <c r="G368" s="9">
        <v>0</v>
      </c>
      <c r="H368" s="2">
        <f t="shared" si="14"/>
        <v>31</v>
      </c>
      <c r="I368" s="9">
        <v>8</v>
      </c>
      <c r="J368" s="9">
        <f>452+1015</f>
        <v>1467</v>
      </c>
      <c r="N368" s="2">
        <f t="shared" si="11"/>
        <v>2005</v>
      </c>
      <c r="O368" s="2">
        <f t="shared" si="12"/>
        <v>3</v>
      </c>
      <c r="P368" s="19">
        <f t="shared" si="7"/>
        <v>13495</v>
      </c>
      <c r="Q368" s="9">
        <f>7291+4382</f>
        <v>11673</v>
      </c>
      <c r="R368" s="9">
        <f>439+1136</f>
        <v>1575</v>
      </c>
      <c r="S368" s="9">
        <v>5</v>
      </c>
      <c r="T368" s="9">
        <f>15</f>
        <v>15</v>
      </c>
      <c r="U368" s="9">
        <f>62+165</f>
        <v>227</v>
      </c>
    </row>
    <row r="369" spans="1:21">
      <c r="A369" s="2">
        <f t="shared" si="8"/>
        <v>2005</v>
      </c>
      <c r="B369" s="2">
        <f t="shared" si="9"/>
        <v>4</v>
      </c>
      <c r="C369" s="16">
        <f t="shared" si="13"/>
        <v>17330</v>
      </c>
      <c r="D369" s="9">
        <f>5323+3470</f>
        <v>8793</v>
      </c>
      <c r="E369" s="9">
        <f>2202+4665</f>
        <v>6867</v>
      </c>
      <c r="F369" s="9">
        <f>12+23</f>
        <v>35</v>
      </c>
      <c r="G369" s="9">
        <v>0</v>
      </c>
      <c r="H369" s="2">
        <f t="shared" si="14"/>
        <v>35</v>
      </c>
      <c r="I369" s="9">
        <v>8</v>
      </c>
      <c r="J369" s="9">
        <f>471+1156</f>
        <v>1627</v>
      </c>
      <c r="N369" s="2">
        <f t="shared" si="11"/>
        <v>2005</v>
      </c>
      <c r="O369" s="2">
        <f t="shared" si="12"/>
        <v>4</v>
      </c>
      <c r="P369" s="19">
        <f t="shared" si="7"/>
        <v>13353</v>
      </c>
      <c r="Q369" s="9">
        <f>7154+4371</f>
        <v>11525</v>
      </c>
      <c r="R369" s="9">
        <f>433+1139</f>
        <v>1572</v>
      </c>
      <c r="S369" s="9">
        <v>5</v>
      </c>
      <c r="T369" s="9">
        <v>15</v>
      </c>
      <c r="U369" s="9">
        <f>62+174</f>
        <v>236</v>
      </c>
    </row>
    <row r="370" spans="1:21">
      <c r="A370" s="2">
        <f t="shared" si="8"/>
        <v>2005</v>
      </c>
      <c r="B370" s="2">
        <f t="shared" si="9"/>
        <v>5</v>
      </c>
      <c r="C370" s="16">
        <f t="shared" si="13"/>
        <v>16547</v>
      </c>
      <c r="D370" s="9">
        <f>4570+3473</f>
        <v>8043</v>
      </c>
      <c r="E370" s="9">
        <f>2332+4595</f>
        <v>6927</v>
      </c>
      <c r="F370" s="9">
        <f>11+23</f>
        <v>34</v>
      </c>
      <c r="G370" s="9">
        <v>0</v>
      </c>
      <c r="H370" s="2">
        <f t="shared" si="14"/>
        <v>34</v>
      </c>
      <c r="I370" s="9">
        <v>8</v>
      </c>
      <c r="J370" s="9">
        <f>484+1051</f>
        <v>1535</v>
      </c>
      <c r="N370" s="2">
        <f t="shared" si="11"/>
        <v>2005</v>
      </c>
      <c r="O370" s="2">
        <f t="shared" si="12"/>
        <v>5</v>
      </c>
      <c r="P370" s="19">
        <f t="shared" ref="P370:P404" si="15">SUM(Q370:U370)</f>
        <v>13256</v>
      </c>
      <c r="Q370" s="9">
        <f>7098+4347</f>
        <v>11445</v>
      </c>
      <c r="R370" s="9">
        <f>434+1127</f>
        <v>1561</v>
      </c>
      <c r="S370" s="9">
        <v>5</v>
      </c>
      <c r="T370" s="9">
        <v>15</v>
      </c>
      <c r="U370" s="9">
        <f>62+168</f>
        <v>230</v>
      </c>
    </row>
    <row r="371" spans="1:21">
      <c r="A371" s="2">
        <f t="shared" si="8"/>
        <v>2005</v>
      </c>
      <c r="B371" s="2">
        <f t="shared" si="9"/>
        <v>6</v>
      </c>
      <c r="C371" s="16">
        <f t="shared" si="13"/>
        <v>19471</v>
      </c>
      <c r="D371" s="9">
        <f>5582+4563</f>
        <v>10145</v>
      </c>
      <c r="E371" s="9">
        <f>2473+5152</f>
        <v>7625</v>
      </c>
      <c r="F371" s="9">
        <f>13+28</f>
        <v>41</v>
      </c>
      <c r="G371" s="9">
        <v>0</v>
      </c>
      <c r="H371" s="2">
        <f t="shared" si="14"/>
        <v>41</v>
      </c>
      <c r="I371" s="9">
        <v>8</v>
      </c>
      <c r="J371" s="9">
        <f>502+1150</f>
        <v>1652</v>
      </c>
      <c r="N371" s="2">
        <f t="shared" si="11"/>
        <v>2005</v>
      </c>
      <c r="O371" s="2">
        <f t="shared" si="12"/>
        <v>6</v>
      </c>
      <c r="P371" s="19">
        <f t="shared" si="15"/>
        <v>13246</v>
      </c>
      <c r="Q371" s="9">
        <f>7079+4345</f>
        <v>11424</v>
      </c>
      <c r="R371" s="9">
        <f>433+1138</f>
        <v>1571</v>
      </c>
      <c r="S371" s="9">
        <v>5</v>
      </c>
      <c r="T371" s="9">
        <v>15</v>
      </c>
      <c r="U371" s="9">
        <f>62+169</f>
        <v>231</v>
      </c>
    </row>
    <row r="372" spans="1:21">
      <c r="A372" s="2">
        <f t="shared" si="8"/>
        <v>2005</v>
      </c>
      <c r="B372" s="2">
        <f t="shared" si="9"/>
        <v>7</v>
      </c>
      <c r="C372" s="16">
        <f t="shared" si="13"/>
        <v>22646</v>
      </c>
      <c r="D372" s="9">
        <f>6932+5537</f>
        <v>12469</v>
      </c>
      <c r="E372" s="9">
        <f>2656+5800</f>
        <v>8456</v>
      </c>
      <c r="F372" s="9">
        <f>14+35</f>
        <v>49</v>
      </c>
      <c r="G372" s="9">
        <v>0</v>
      </c>
      <c r="H372" s="2">
        <f t="shared" si="14"/>
        <v>49</v>
      </c>
      <c r="I372" s="9">
        <v>8</v>
      </c>
      <c r="J372" s="9">
        <f>469+1195</f>
        <v>1664</v>
      </c>
      <c r="N372" s="2">
        <f t="shared" si="11"/>
        <v>2005</v>
      </c>
      <c r="O372" s="2">
        <f t="shared" si="12"/>
        <v>7</v>
      </c>
      <c r="P372" s="19">
        <f t="shared" si="15"/>
        <v>13269</v>
      </c>
      <c r="Q372" s="9">
        <f>7116+4338</f>
        <v>11454</v>
      </c>
      <c r="R372" s="9">
        <f>421+1141</f>
        <v>1562</v>
      </c>
      <c r="S372" s="9">
        <v>5</v>
      </c>
      <c r="T372" s="9">
        <v>15</v>
      </c>
      <c r="U372" s="9">
        <f>62+171</f>
        <v>233</v>
      </c>
    </row>
    <row r="373" spans="1:21">
      <c r="A373" s="2">
        <f t="shared" si="8"/>
        <v>2005</v>
      </c>
      <c r="B373" s="2">
        <f t="shared" si="9"/>
        <v>8</v>
      </c>
      <c r="C373" s="16">
        <f t="shared" si="13"/>
        <v>22505</v>
      </c>
      <c r="D373" s="9">
        <f>6881+5400</f>
        <v>12281</v>
      </c>
      <c r="E373" s="9">
        <f>2592+5834</f>
        <v>8426</v>
      </c>
      <c r="F373" s="9">
        <f>13+32</f>
        <v>45</v>
      </c>
      <c r="G373" s="9">
        <v>0</v>
      </c>
      <c r="H373" s="2">
        <f t="shared" si="14"/>
        <v>45</v>
      </c>
      <c r="I373" s="9">
        <v>8</v>
      </c>
      <c r="J373" s="9">
        <f>524+1221</f>
        <v>1745</v>
      </c>
      <c r="N373" s="2">
        <f t="shared" si="11"/>
        <v>2005</v>
      </c>
      <c r="O373" s="2">
        <f t="shared" si="12"/>
        <v>8</v>
      </c>
      <c r="P373" s="19">
        <f t="shared" si="15"/>
        <v>13192</v>
      </c>
      <c r="Q373" s="9">
        <f>7085+4311</f>
        <v>11396</v>
      </c>
      <c r="R373" s="9">
        <f>415+1130</f>
        <v>1545</v>
      </c>
      <c r="S373" s="9">
        <f>3+2</f>
        <v>5</v>
      </c>
      <c r="T373" s="9">
        <v>15</v>
      </c>
      <c r="U373" s="9">
        <f>62+169</f>
        <v>231</v>
      </c>
    </row>
    <row r="374" spans="1:21">
      <c r="A374" s="2">
        <f t="shared" si="8"/>
        <v>2005</v>
      </c>
      <c r="B374" s="2">
        <f t="shared" si="9"/>
        <v>9</v>
      </c>
      <c r="C374" s="16">
        <f t="shared" si="13"/>
        <v>22470</v>
      </c>
      <c r="D374" s="9">
        <f>6773+5381</f>
        <v>12154</v>
      </c>
      <c r="E374" s="9">
        <f>2624+5745</f>
        <v>8369</v>
      </c>
      <c r="F374" s="9">
        <f>13+34</f>
        <v>47</v>
      </c>
      <c r="G374" s="9">
        <v>0</v>
      </c>
      <c r="H374" s="2">
        <f t="shared" si="14"/>
        <v>47</v>
      </c>
      <c r="I374" s="9">
        <v>8</v>
      </c>
      <c r="J374" s="9">
        <f>593+1299</f>
        <v>1892</v>
      </c>
      <c r="N374" s="2">
        <f t="shared" si="11"/>
        <v>2005</v>
      </c>
      <c r="O374" s="2">
        <f t="shared" si="12"/>
        <v>9</v>
      </c>
      <c r="P374" s="19">
        <f t="shared" si="15"/>
        <v>13252</v>
      </c>
      <c r="Q374" s="9">
        <f>7097+4339</f>
        <v>11436</v>
      </c>
      <c r="R374" s="9">
        <f>423+1139</f>
        <v>1562</v>
      </c>
      <c r="S374" s="9">
        <f>3+2</f>
        <v>5</v>
      </c>
      <c r="T374" s="9">
        <f>15</f>
        <v>15</v>
      </c>
      <c r="U374" s="9">
        <f>62+172</f>
        <v>234</v>
      </c>
    </row>
    <row r="375" spans="1:21">
      <c r="A375" s="2">
        <f t="shared" si="8"/>
        <v>2005</v>
      </c>
      <c r="B375" s="2">
        <f t="shared" si="9"/>
        <v>10</v>
      </c>
      <c r="C375" s="16">
        <f t="shared" si="13"/>
        <v>20557</v>
      </c>
      <c r="D375" s="9">
        <f>6125+4830</f>
        <v>10955</v>
      </c>
      <c r="E375" s="9">
        <f>2405+5362</f>
        <v>7767</v>
      </c>
      <c r="F375" s="9">
        <f>13+31</f>
        <v>44</v>
      </c>
      <c r="G375" s="9">
        <v>0</v>
      </c>
      <c r="H375" s="2">
        <f t="shared" si="14"/>
        <v>44</v>
      </c>
      <c r="I375" s="9">
        <v>8</v>
      </c>
      <c r="J375" s="9">
        <f>581+1202</f>
        <v>1783</v>
      </c>
      <c r="N375" s="2">
        <f t="shared" si="11"/>
        <v>2005</v>
      </c>
      <c r="O375" s="2">
        <f t="shared" si="12"/>
        <v>10</v>
      </c>
      <c r="P375" s="19">
        <f t="shared" si="15"/>
        <v>13276</v>
      </c>
      <c r="Q375" s="9">
        <f>7142+4316</f>
        <v>11458</v>
      </c>
      <c r="R375" s="9">
        <f>436+1130</f>
        <v>1566</v>
      </c>
      <c r="S375" s="9">
        <f>5</f>
        <v>5</v>
      </c>
      <c r="T375" s="9">
        <f>15</f>
        <v>15</v>
      </c>
      <c r="U375" s="9">
        <f>62+170</f>
        <v>232</v>
      </c>
    </row>
    <row r="376" spans="1:21">
      <c r="A376" s="2">
        <f t="shared" si="8"/>
        <v>2005</v>
      </c>
      <c r="B376" s="2">
        <f t="shared" si="9"/>
        <v>11</v>
      </c>
      <c r="C376" s="16">
        <f t="shared" si="13"/>
        <v>17554</v>
      </c>
      <c r="D376" s="9">
        <f>4917+3724</f>
        <v>8641</v>
      </c>
      <c r="E376" s="9">
        <f>2293+4628</f>
        <v>6921</v>
      </c>
      <c r="F376" s="9">
        <f>13+29</f>
        <v>42</v>
      </c>
      <c r="G376" s="9">
        <v>0</v>
      </c>
      <c r="H376" s="2">
        <f>F376-G376</f>
        <v>42</v>
      </c>
      <c r="I376" s="9">
        <v>8</v>
      </c>
      <c r="J376" s="9">
        <f>499+1443</f>
        <v>1942</v>
      </c>
      <c r="N376" s="2">
        <f t="shared" si="11"/>
        <v>2005</v>
      </c>
      <c r="O376" s="2">
        <f t="shared" si="12"/>
        <v>11</v>
      </c>
      <c r="P376" s="19">
        <f t="shared" si="15"/>
        <v>13321</v>
      </c>
      <c r="Q376" s="9">
        <f>7167+4322</f>
        <v>11489</v>
      </c>
      <c r="R376" s="9">
        <f>443+1138</f>
        <v>1581</v>
      </c>
      <c r="S376" s="9">
        <f>3+1</f>
        <v>4</v>
      </c>
      <c r="T376" s="9">
        <v>15</v>
      </c>
      <c r="U376" s="9">
        <f>62+170</f>
        <v>232</v>
      </c>
    </row>
    <row r="377" spans="1:21">
      <c r="A377" s="2">
        <f t="shared" si="8"/>
        <v>2005</v>
      </c>
      <c r="B377" s="2">
        <f t="shared" si="9"/>
        <v>12</v>
      </c>
      <c r="C377" s="16">
        <f t="shared" si="13"/>
        <v>15748</v>
      </c>
      <c r="D377" s="9">
        <f>4899+3195</f>
        <v>8094</v>
      </c>
      <c r="E377" s="9">
        <f>2364+3813</f>
        <v>6177</v>
      </c>
      <c r="F377" s="9">
        <f>11+24</f>
        <v>35</v>
      </c>
      <c r="G377" s="9">
        <v>0</v>
      </c>
      <c r="H377" s="2">
        <f>F377-G377</f>
        <v>35</v>
      </c>
      <c r="I377" s="9">
        <v>8</v>
      </c>
      <c r="J377" s="9">
        <f>449+985</f>
        <v>1434</v>
      </c>
      <c r="N377" s="2">
        <f t="shared" si="11"/>
        <v>2005</v>
      </c>
      <c r="O377" s="2">
        <f t="shared" si="12"/>
        <v>12</v>
      </c>
      <c r="P377" s="19">
        <f t="shared" si="15"/>
        <v>13414</v>
      </c>
      <c r="Q377" s="9">
        <f>7223+4341</f>
        <v>11564</v>
      </c>
      <c r="R377" s="9">
        <f>441+1157</f>
        <v>1598</v>
      </c>
      <c r="S377" s="9">
        <v>4</v>
      </c>
      <c r="T377" s="9">
        <f>15</f>
        <v>15</v>
      </c>
      <c r="U377" s="9">
        <f>62+171</f>
        <v>233</v>
      </c>
    </row>
    <row r="378" spans="1:21">
      <c r="A378" s="2">
        <f t="shared" si="8"/>
        <v>2006</v>
      </c>
      <c r="B378" s="2">
        <f t="shared" si="9"/>
        <v>1</v>
      </c>
      <c r="C378" s="16">
        <f t="shared" si="13"/>
        <v>19094</v>
      </c>
      <c r="D378" s="9">
        <f>6757+4101</f>
        <v>10858</v>
      </c>
      <c r="E378" s="9">
        <f>2235+4487</f>
        <v>6722</v>
      </c>
      <c r="F378" s="9">
        <f>11+24</f>
        <v>35</v>
      </c>
      <c r="G378" s="9">
        <v>0</v>
      </c>
      <c r="H378" s="2">
        <f t="shared" ref="H378:H404" si="16">F378-G378</f>
        <v>35</v>
      </c>
      <c r="I378" s="9">
        <v>8</v>
      </c>
      <c r="J378" s="9">
        <f>441+1030</f>
        <v>1471</v>
      </c>
      <c r="N378" s="2">
        <f t="shared" si="11"/>
        <v>2006</v>
      </c>
      <c r="O378" s="2">
        <f t="shared" si="12"/>
        <v>1</v>
      </c>
      <c r="P378" s="19">
        <f t="shared" si="15"/>
        <v>13473</v>
      </c>
      <c r="Q378" s="9">
        <f>7301+4338</f>
        <v>11639</v>
      </c>
      <c r="R378" s="9">
        <f>438+1144</f>
        <v>1582</v>
      </c>
      <c r="S378" s="9">
        <v>5</v>
      </c>
      <c r="T378" s="9">
        <v>15</v>
      </c>
      <c r="U378" s="9">
        <f>61+171</f>
        <v>232</v>
      </c>
    </row>
    <row r="379" spans="1:21">
      <c r="A379" s="2">
        <f t="shared" si="8"/>
        <v>2006</v>
      </c>
      <c r="B379" s="2">
        <f t="shared" si="9"/>
        <v>2</v>
      </c>
      <c r="C379" s="16">
        <f t="shared" si="13"/>
        <v>17079</v>
      </c>
      <c r="D379" s="9">
        <f>5909+3480</f>
        <v>9389</v>
      </c>
      <c r="E379" s="9">
        <f>2047+4166</f>
        <v>6213</v>
      </c>
      <c r="F379" s="9">
        <f>11+21</f>
        <v>32</v>
      </c>
      <c r="G379" s="9">
        <v>0</v>
      </c>
      <c r="H379" s="2">
        <f t="shared" si="16"/>
        <v>32</v>
      </c>
      <c r="I379" s="9">
        <f>8</f>
        <v>8</v>
      </c>
      <c r="J379" s="9">
        <f>417+1020</f>
        <v>1437</v>
      </c>
      <c r="N379" s="2">
        <f t="shared" si="11"/>
        <v>2006</v>
      </c>
      <c r="O379" s="2">
        <f t="shared" si="12"/>
        <v>2</v>
      </c>
      <c r="P379" s="19">
        <f t="shared" si="15"/>
        <v>13546</v>
      </c>
      <c r="Q379" s="9">
        <f>7358+4352</f>
        <v>11710</v>
      </c>
      <c r="R379" s="9">
        <f>437+1144</f>
        <v>1581</v>
      </c>
      <c r="S379" s="9">
        <f>4+1</f>
        <v>5</v>
      </c>
      <c r="T379" s="9">
        <f>15</f>
        <v>15</v>
      </c>
      <c r="U379" s="9">
        <f>61+174</f>
        <v>235</v>
      </c>
    </row>
    <row r="380" spans="1:21">
      <c r="A380" s="2">
        <f t="shared" si="8"/>
        <v>2006</v>
      </c>
      <c r="B380" s="2">
        <f t="shared" si="9"/>
        <v>3</v>
      </c>
      <c r="C380" s="16">
        <f t="shared" si="13"/>
        <v>16450</v>
      </c>
      <c r="D380" s="9">
        <v>8787</v>
      </c>
      <c r="E380" s="9">
        <v>6137</v>
      </c>
      <c r="F380" s="9">
        <v>34</v>
      </c>
      <c r="G380" s="9">
        <v>0</v>
      </c>
      <c r="H380" s="2">
        <f t="shared" si="16"/>
        <v>34</v>
      </c>
      <c r="I380" s="9">
        <v>8</v>
      </c>
      <c r="J380" s="9">
        <v>1484</v>
      </c>
      <c r="N380" s="2">
        <f t="shared" si="11"/>
        <v>2006</v>
      </c>
      <c r="O380" s="2">
        <f t="shared" si="12"/>
        <v>3</v>
      </c>
      <c r="P380" s="19">
        <f t="shared" si="15"/>
        <v>13555</v>
      </c>
      <c r="Q380" s="9">
        <v>11713</v>
      </c>
      <c r="R380" s="9">
        <v>1590</v>
      </c>
      <c r="S380" s="9">
        <v>5</v>
      </c>
      <c r="T380" s="9">
        <v>15</v>
      </c>
      <c r="U380" s="9">
        <v>232</v>
      </c>
    </row>
    <row r="381" spans="1:21">
      <c r="A381" s="2">
        <f t="shared" si="8"/>
        <v>2006</v>
      </c>
      <c r="B381" s="2">
        <f t="shared" si="9"/>
        <v>4</v>
      </c>
      <c r="C381" s="16">
        <f>SUM(D381:F381,I381:J381)</f>
        <v>34818</v>
      </c>
      <c r="D381" s="9">
        <f>9205+4984</f>
        <v>14189</v>
      </c>
      <c r="E381" s="9">
        <f>5377+8548</f>
        <v>13925</v>
      </c>
      <c r="F381" s="9">
        <f>621+24</f>
        <v>645</v>
      </c>
      <c r="G381" s="9">
        <v>0</v>
      </c>
      <c r="H381" s="2">
        <f t="shared" si="16"/>
        <v>645</v>
      </c>
      <c r="I381" s="9">
        <v>8</v>
      </c>
      <c r="J381" s="9">
        <f>3035+3016</f>
        <v>6051</v>
      </c>
      <c r="N381" s="2">
        <f t="shared" si="11"/>
        <v>2006</v>
      </c>
      <c r="O381" s="2">
        <f t="shared" si="12"/>
        <v>4</v>
      </c>
      <c r="P381" s="19">
        <f t="shared" si="15"/>
        <v>13458</v>
      </c>
      <c r="Q381" s="9">
        <f>7218+4372</f>
        <v>11590</v>
      </c>
      <c r="R381" s="9">
        <f>443+1171</f>
        <v>1614</v>
      </c>
      <c r="S381" s="9">
        <v>6</v>
      </c>
      <c r="T381" s="9">
        <v>15</v>
      </c>
      <c r="U381" s="9">
        <f>62+171</f>
        <v>233</v>
      </c>
    </row>
    <row r="382" spans="1:21">
      <c r="A382" s="2">
        <f t="shared" si="8"/>
        <v>2006</v>
      </c>
      <c r="B382" s="2">
        <f t="shared" si="9"/>
        <v>5</v>
      </c>
      <c r="C382" s="16">
        <f t="shared" si="13"/>
        <v>22327</v>
      </c>
      <c r="D382" s="9">
        <f>6167+4562</f>
        <v>10729</v>
      </c>
      <c r="E382" s="9">
        <f>2650+6316</f>
        <v>8966</v>
      </c>
      <c r="F382" s="9">
        <f>311+26</f>
        <v>337</v>
      </c>
      <c r="G382" s="9">
        <v>0</v>
      </c>
      <c r="H382" s="2">
        <f t="shared" si="16"/>
        <v>337</v>
      </c>
      <c r="I382" s="9">
        <v>8</v>
      </c>
      <c r="J382" s="9">
        <f>698+1589</f>
        <v>2287</v>
      </c>
      <c r="N382" s="2">
        <f t="shared" si="11"/>
        <v>2006</v>
      </c>
      <c r="O382" s="2">
        <f t="shared" si="12"/>
        <v>5</v>
      </c>
      <c r="P382" s="19">
        <f t="shared" si="15"/>
        <v>14205</v>
      </c>
      <c r="Q382" s="9">
        <f>7438+4726</f>
        <v>12164</v>
      </c>
      <c r="R382" s="9">
        <f>464+1279</f>
        <v>1743</v>
      </c>
      <c r="S382" s="9">
        <v>5</v>
      </c>
      <c r="T382" s="9">
        <v>15</v>
      </c>
      <c r="U382" s="9">
        <f>77+201</f>
        <v>278</v>
      </c>
    </row>
    <row r="383" spans="1:21">
      <c r="A383" s="2">
        <f t="shared" ref="A383:A446" si="17">A371+1</f>
        <v>2006</v>
      </c>
      <c r="B383" s="2">
        <f t="shared" ref="B383:B446" si="18">B371</f>
        <v>6</v>
      </c>
      <c r="C383" s="16">
        <f t="shared" si="13"/>
        <v>22230</v>
      </c>
      <c r="D383" s="9">
        <f>6056+4968</f>
        <v>11024</v>
      </c>
      <c r="E383" s="9">
        <f>2548+6203</f>
        <v>8751</v>
      </c>
      <c r="F383" s="9">
        <f>11+270</f>
        <v>281</v>
      </c>
      <c r="G383" s="9">
        <v>0</v>
      </c>
      <c r="H383" s="2">
        <f t="shared" si="16"/>
        <v>281</v>
      </c>
      <c r="I383" s="9">
        <f>8</f>
        <v>8</v>
      </c>
      <c r="J383" s="9">
        <f>348+1818</f>
        <v>2166</v>
      </c>
      <c r="N383" s="2">
        <f t="shared" si="11"/>
        <v>2006</v>
      </c>
      <c r="O383" s="2">
        <f t="shared" si="12"/>
        <v>6</v>
      </c>
      <c r="P383" s="19">
        <f t="shared" si="15"/>
        <v>14153</v>
      </c>
      <c r="Q383" s="9">
        <f>7447+4658</f>
        <v>12105</v>
      </c>
      <c r="R383" s="9">
        <f>472+1274</f>
        <v>1746</v>
      </c>
      <c r="S383" s="9">
        <f>5</f>
        <v>5</v>
      </c>
      <c r="T383" s="9">
        <v>15</v>
      </c>
      <c r="U383" s="9">
        <f>79+203</f>
        <v>282</v>
      </c>
    </row>
    <row r="384" spans="1:21">
      <c r="A384" s="2">
        <f t="shared" si="17"/>
        <v>2006</v>
      </c>
      <c r="B384" s="2">
        <f t="shared" si="18"/>
        <v>7</v>
      </c>
      <c r="C384" s="16">
        <f t="shared" si="13"/>
        <v>23816</v>
      </c>
      <c r="D384" s="9">
        <f>6699+5345</f>
        <v>12044</v>
      </c>
      <c r="E384" s="9">
        <f>2604+6670</f>
        <v>9274</v>
      </c>
      <c r="F384" s="9">
        <f>11+348</f>
        <v>359</v>
      </c>
      <c r="G384" s="9">
        <v>0</v>
      </c>
      <c r="H384" s="2">
        <f t="shared" si="16"/>
        <v>359</v>
      </c>
      <c r="I384" s="9">
        <v>8</v>
      </c>
      <c r="J384" s="9">
        <f>355+1776</f>
        <v>2131</v>
      </c>
      <c r="N384" s="2">
        <f t="shared" si="11"/>
        <v>2006</v>
      </c>
      <c r="O384" s="2">
        <f t="shared" si="12"/>
        <v>7</v>
      </c>
      <c r="P384" s="19">
        <f t="shared" si="15"/>
        <v>14190</v>
      </c>
      <c r="Q384" s="9">
        <f>7439+4678</f>
        <v>12117</v>
      </c>
      <c r="R384" s="9">
        <f>489+1282</f>
        <v>1771</v>
      </c>
      <c r="S384" s="9">
        <v>5</v>
      </c>
      <c r="T384" s="9">
        <v>15</v>
      </c>
      <c r="U384" s="9">
        <f>82+200</f>
        <v>282</v>
      </c>
    </row>
    <row r="385" spans="1:21">
      <c r="A385" s="2">
        <f t="shared" si="17"/>
        <v>2006</v>
      </c>
      <c r="B385" s="2">
        <f t="shared" si="18"/>
        <v>8</v>
      </c>
      <c r="C385" s="16">
        <f t="shared" si="13"/>
        <v>25959</v>
      </c>
      <c r="D385" s="9">
        <f>7237+5757</f>
        <v>12994</v>
      </c>
      <c r="E385" s="9">
        <f>2897+7249</f>
        <v>10146</v>
      </c>
      <c r="F385" s="9">
        <f>12+435</f>
        <v>447</v>
      </c>
      <c r="G385" s="9">
        <v>0</v>
      </c>
      <c r="H385" s="2">
        <f t="shared" si="16"/>
        <v>447</v>
      </c>
      <c r="I385" s="9">
        <v>8</v>
      </c>
      <c r="J385" s="9">
        <f>373+1991</f>
        <v>2364</v>
      </c>
      <c r="N385" s="2">
        <f t="shared" si="11"/>
        <v>2006</v>
      </c>
      <c r="O385" s="2">
        <f t="shared" si="12"/>
        <v>8</v>
      </c>
      <c r="P385" s="19">
        <f t="shared" si="15"/>
        <v>14167</v>
      </c>
      <c r="Q385" s="9">
        <f>7434+4676</f>
        <v>12110</v>
      </c>
      <c r="R385" s="9">
        <f>482+1275</f>
        <v>1757</v>
      </c>
      <c r="S385" s="9">
        <v>5</v>
      </c>
      <c r="T385" s="9">
        <v>15</v>
      </c>
      <c r="U385" s="9">
        <f>80+200</f>
        <v>280</v>
      </c>
    </row>
    <row r="386" spans="1:21">
      <c r="A386" s="2">
        <f t="shared" si="17"/>
        <v>2006</v>
      </c>
      <c r="B386" s="2">
        <f t="shared" si="18"/>
        <v>9</v>
      </c>
      <c r="C386" s="16">
        <f t="shared" si="13"/>
        <v>22801</v>
      </c>
      <c r="D386" s="9">
        <f>6392+4900</f>
        <v>11292</v>
      </c>
      <c r="E386" s="9">
        <f>2438+6361</f>
        <v>8799</v>
      </c>
      <c r="F386" s="9">
        <f>10+421</f>
        <v>431</v>
      </c>
      <c r="G386" s="9">
        <v>0</v>
      </c>
      <c r="H386" s="2">
        <f t="shared" si="16"/>
        <v>431</v>
      </c>
      <c r="I386" s="9">
        <v>8</v>
      </c>
      <c r="J386" s="9">
        <f>380+1891</f>
        <v>2271</v>
      </c>
      <c r="N386" s="2">
        <f t="shared" si="11"/>
        <v>2006</v>
      </c>
      <c r="O386" s="2">
        <f t="shared" si="12"/>
        <v>9</v>
      </c>
      <c r="P386" s="19">
        <f t="shared" si="15"/>
        <v>14146</v>
      </c>
      <c r="Q386" s="9">
        <f>7408+4674</f>
        <v>12082</v>
      </c>
      <c r="R386" s="9">
        <f>483+1280</f>
        <v>1763</v>
      </c>
      <c r="S386" s="9">
        <v>5</v>
      </c>
      <c r="T386" s="9">
        <v>15</v>
      </c>
      <c r="U386" s="9">
        <f>81+200</f>
        <v>281</v>
      </c>
    </row>
    <row r="387" spans="1:21">
      <c r="A387" s="2">
        <f t="shared" si="17"/>
        <v>2006</v>
      </c>
      <c r="B387" s="2">
        <f t="shared" si="18"/>
        <v>10</v>
      </c>
      <c r="C387" s="16">
        <f t="shared" si="13"/>
        <v>22073</v>
      </c>
      <c r="D387" s="9">
        <f>5911+4839</f>
        <v>10750</v>
      </c>
      <c r="E387" s="9">
        <f>2367+6199</f>
        <v>8566</v>
      </c>
      <c r="F387" s="9">
        <f>10+420</f>
        <v>430</v>
      </c>
      <c r="G387" s="9">
        <v>0</v>
      </c>
      <c r="H387" s="2">
        <f t="shared" si="16"/>
        <v>430</v>
      </c>
      <c r="I387" s="9">
        <v>8</v>
      </c>
      <c r="J387" s="9">
        <f>397+1922</f>
        <v>2319</v>
      </c>
      <c r="N387" s="2">
        <f t="shared" si="11"/>
        <v>2006</v>
      </c>
      <c r="O387" s="2">
        <f t="shared" si="12"/>
        <v>10</v>
      </c>
      <c r="P387" s="19">
        <f t="shared" si="15"/>
        <v>14172</v>
      </c>
      <c r="Q387" s="9">
        <f>7437+4652</f>
        <v>12089</v>
      </c>
      <c r="R387" s="9">
        <f>499+1283</f>
        <v>1782</v>
      </c>
      <c r="S387" s="9">
        <v>5</v>
      </c>
      <c r="T387" s="9">
        <v>15</v>
      </c>
      <c r="U387" s="9">
        <f>81+200</f>
        <v>281</v>
      </c>
    </row>
    <row r="388" spans="1:21">
      <c r="A388" s="2">
        <f t="shared" si="17"/>
        <v>2006</v>
      </c>
      <c r="B388" s="2">
        <f t="shared" si="18"/>
        <v>11</v>
      </c>
      <c r="C388" s="16">
        <f t="shared" si="13"/>
        <v>19865</v>
      </c>
      <c r="D388" s="9">
        <f>5307+3864</f>
        <v>9171</v>
      </c>
      <c r="E388" s="9">
        <f>2197+5775</f>
        <v>7972</v>
      </c>
      <c r="F388" s="9">
        <f>10+566</f>
        <v>576</v>
      </c>
      <c r="G388" s="9">
        <v>0</v>
      </c>
      <c r="H388" s="2">
        <f t="shared" si="16"/>
        <v>576</v>
      </c>
      <c r="I388" s="9">
        <v>8</v>
      </c>
      <c r="J388" s="9">
        <f>353+1785</f>
        <v>2138</v>
      </c>
      <c r="N388" s="2">
        <f t="shared" si="11"/>
        <v>2006</v>
      </c>
      <c r="O388" s="2">
        <f t="shared" si="12"/>
        <v>11</v>
      </c>
      <c r="P388" s="19">
        <f t="shared" si="15"/>
        <v>14298</v>
      </c>
      <c r="Q388" s="9">
        <f>7579+4659</f>
        <v>12238</v>
      </c>
      <c r="R388" s="9">
        <f>492+1266</f>
        <v>1758</v>
      </c>
      <c r="S388" s="9">
        <v>5</v>
      </c>
      <c r="T388" s="9">
        <v>15</v>
      </c>
      <c r="U388" s="9">
        <f>81+201</f>
        <v>282</v>
      </c>
    </row>
    <row r="389" spans="1:21">
      <c r="A389" s="2">
        <f t="shared" si="17"/>
        <v>2006</v>
      </c>
      <c r="B389" s="2">
        <f t="shared" si="18"/>
        <v>12</v>
      </c>
      <c r="C389" s="16">
        <f t="shared" si="13"/>
        <v>19569</v>
      </c>
      <c r="D389" s="9">
        <f>5521+3726</f>
        <v>9247</v>
      </c>
      <c r="E389" s="9">
        <f>2476+5539</f>
        <v>8015</v>
      </c>
      <c r="F389" s="9">
        <f>9+492</f>
        <v>501</v>
      </c>
      <c r="G389" s="9">
        <v>0</v>
      </c>
      <c r="H389" s="2">
        <f t="shared" si="16"/>
        <v>501</v>
      </c>
      <c r="I389" s="9">
        <v>8</v>
      </c>
      <c r="J389" s="9">
        <f>345+1453</f>
        <v>1798</v>
      </c>
      <c r="N389" s="2">
        <f t="shared" si="11"/>
        <v>2006</v>
      </c>
      <c r="O389" s="2">
        <f t="shared" si="12"/>
        <v>12</v>
      </c>
      <c r="P389" s="19">
        <f t="shared" si="15"/>
        <v>14399</v>
      </c>
      <c r="Q389" s="9">
        <f>7656+4673</f>
        <v>12329</v>
      </c>
      <c r="R389" s="9">
        <f>486+1283</f>
        <v>1769</v>
      </c>
      <c r="S389" s="9">
        <v>5</v>
      </c>
      <c r="T389" s="9">
        <v>15</v>
      </c>
      <c r="U389" s="9">
        <f>81+200</f>
        <v>281</v>
      </c>
    </row>
    <row r="390" spans="1:21">
      <c r="A390" s="2">
        <f t="shared" si="17"/>
        <v>2007</v>
      </c>
      <c r="B390" s="2">
        <f t="shared" si="18"/>
        <v>1</v>
      </c>
      <c r="C390" s="16">
        <f t="shared" si="13"/>
        <v>19264</v>
      </c>
      <c r="D390" s="9">
        <f>5479+3643</f>
        <v>9122</v>
      </c>
      <c r="E390" s="9">
        <f>2072+5316</f>
        <v>7388</v>
      </c>
      <c r="F390" s="9">
        <f>8+490</f>
        <v>498</v>
      </c>
      <c r="G390" s="9">
        <v>0</v>
      </c>
      <c r="H390" s="2">
        <f t="shared" si="16"/>
        <v>498</v>
      </c>
      <c r="I390" s="9">
        <v>8</v>
      </c>
      <c r="J390" s="9">
        <f>311+1937</f>
        <v>2248</v>
      </c>
      <c r="N390" s="2">
        <f t="shared" si="11"/>
        <v>2007</v>
      </c>
      <c r="O390" s="2">
        <f t="shared" si="12"/>
        <v>1</v>
      </c>
      <c r="P390" s="19">
        <f t="shared" si="15"/>
        <v>14467</v>
      </c>
      <c r="Q390" s="9">
        <f>7725+4666</f>
        <v>12391</v>
      </c>
      <c r="R390" s="9">
        <f>491+1277</f>
        <v>1768</v>
      </c>
      <c r="S390" s="9">
        <v>5</v>
      </c>
      <c r="T390" s="9">
        <v>15</v>
      </c>
      <c r="U390" s="9">
        <f>84+204</f>
        <v>288</v>
      </c>
    </row>
    <row r="391" spans="1:21">
      <c r="A391" s="2">
        <f t="shared" si="17"/>
        <v>2007</v>
      </c>
      <c r="B391" s="2">
        <f t="shared" si="18"/>
        <v>2</v>
      </c>
      <c r="C391" s="16">
        <f t="shared" si="13"/>
        <v>19622</v>
      </c>
      <c r="D391" s="9">
        <f>6279+3835</f>
        <v>10114</v>
      </c>
      <c r="E391" s="9">
        <f>2103+5001</f>
        <v>7104</v>
      </c>
      <c r="F391" s="9">
        <f>9+488</f>
        <v>497</v>
      </c>
      <c r="G391" s="9">
        <v>0</v>
      </c>
      <c r="H391" s="2">
        <f t="shared" si="16"/>
        <v>497</v>
      </c>
      <c r="I391" s="9">
        <v>8</v>
      </c>
      <c r="J391" s="9">
        <f>335+1564</f>
        <v>1899</v>
      </c>
      <c r="N391" s="2">
        <f t="shared" si="11"/>
        <v>2007</v>
      </c>
      <c r="O391" s="2">
        <f t="shared" si="12"/>
        <v>2</v>
      </c>
      <c r="P391" s="19">
        <f t="shared" si="15"/>
        <v>14491</v>
      </c>
      <c r="Q391" s="9">
        <f>7751+4679</f>
        <v>12430</v>
      </c>
      <c r="R391" s="9">
        <f>484+1273</f>
        <v>1757</v>
      </c>
      <c r="S391" s="9">
        <v>5</v>
      </c>
      <c r="T391" s="9">
        <v>15</v>
      </c>
      <c r="U391" s="9">
        <f>82+202</f>
        <v>284</v>
      </c>
    </row>
    <row r="392" spans="1:21">
      <c r="A392" s="2">
        <f t="shared" si="17"/>
        <v>2007</v>
      </c>
      <c r="B392" s="2">
        <f t="shared" si="18"/>
        <v>3</v>
      </c>
      <c r="C392" s="16">
        <f t="shared" si="13"/>
        <v>20140</v>
      </c>
      <c r="D392" s="9">
        <f>6129+3999</f>
        <v>10128</v>
      </c>
      <c r="E392" s="9">
        <f>2157+4947</f>
        <v>7104</v>
      </c>
      <c r="F392" s="9">
        <f>10+869</f>
        <v>879</v>
      </c>
      <c r="G392" s="9">
        <v>0</v>
      </c>
      <c r="H392" s="2">
        <f t="shared" si="16"/>
        <v>879</v>
      </c>
      <c r="I392" s="9">
        <v>8</v>
      </c>
      <c r="J392" s="9">
        <f>350+1671</f>
        <v>2021</v>
      </c>
      <c r="N392" s="2">
        <f t="shared" si="11"/>
        <v>2007</v>
      </c>
      <c r="O392" s="2">
        <f t="shared" si="12"/>
        <v>3</v>
      </c>
      <c r="P392" s="19">
        <f t="shared" si="15"/>
        <v>14559</v>
      </c>
      <c r="Q392" s="9">
        <f>7774+4700</f>
        <v>12474</v>
      </c>
      <c r="R392" s="9">
        <f>484+1286</f>
        <v>1770</v>
      </c>
      <c r="S392" s="9">
        <f>5</f>
        <v>5</v>
      </c>
      <c r="T392" s="9">
        <v>15</v>
      </c>
      <c r="U392" s="9">
        <f>90+205</f>
        <v>295</v>
      </c>
    </row>
    <row r="393" spans="1:21">
      <c r="A393" s="2">
        <f t="shared" si="17"/>
        <v>2007</v>
      </c>
      <c r="B393" s="2">
        <f t="shared" si="18"/>
        <v>4</v>
      </c>
      <c r="C393" s="16">
        <f t="shared" si="13"/>
        <v>18357</v>
      </c>
      <c r="D393" s="9">
        <f>5376+3359</f>
        <v>8735</v>
      </c>
      <c r="E393" s="9">
        <f>2028+5028</f>
        <v>7056</v>
      </c>
      <c r="F393" s="9">
        <f>10+531</f>
        <v>541</v>
      </c>
      <c r="G393" s="9">
        <v>0</v>
      </c>
      <c r="H393" s="2">
        <f t="shared" si="16"/>
        <v>541</v>
      </c>
      <c r="I393" s="9">
        <v>8</v>
      </c>
      <c r="J393" s="9">
        <f>342+1675</f>
        <v>2017</v>
      </c>
      <c r="N393" s="2">
        <f t="shared" si="11"/>
        <v>2007</v>
      </c>
      <c r="O393" s="2">
        <f t="shared" si="12"/>
        <v>4</v>
      </c>
      <c r="P393" s="19">
        <f t="shared" si="15"/>
        <v>14448</v>
      </c>
      <c r="Q393" s="9">
        <f>7684+4691</f>
        <v>12375</v>
      </c>
      <c r="R393" s="9">
        <f>483+1275</f>
        <v>1758</v>
      </c>
      <c r="S393" s="9">
        <v>7</v>
      </c>
      <c r="T393" s="9">
        <v>15</v>
      </c>
      <c r="U393" s="9">
        <f>88+205</f>
        <v>293</v>
      </c>
    </row>
    <row r="394" spans="1:21">
      <c r="A394" s="2">
        <f t="shared" si="17"/>
        <v>2007</v>
      </c>
      <c r="B394" s="2">
        <f t="shared" si="18"/>
        <v>5</v>
      </c>
      <c r="C394" s="16">
        <f t="shared" si="13"/>
        <v>21553</v>
      </c>
      <c r="D394" s="9">
        <f>5941+4140</f>
        <v>10081</v>
      </c>
      <c r="E394" s="9">
        <f>2470+6215</f>
        <v>8685</v>
      </c>
      <c r="F394" s="9">
        <f>10+597</f>
        <v>607</v>
      </c>
      <c r="G394" s="9">
        <v>0</v>
      </c>
      <c r="H394" s="2">
        <f t="shared" si="16"/>
        <v>607</v>
      </c>
      <c r="I394" s="9">
        <v>8</v>
      </c>
      <c r="J394" s="9">
        <f>388+1784</f>
        <v>2172</v>
      </c>
      <c r="N394" s="2">
        <f t="shared" ref="N394:N457" si="19">N382+1</f>
        <v>2007</v>
      </c>
      <c r="O394" s="2">
        <f t="shared" ref="O394:O457" si="20">O382</f>
        <v>5</v>
      </c>
      <c r="P394" s="19">
        <f t="shared" si="15"/>
        <v>14396</v>
      </c>
      <c r="Q394" s="9">
        <f>7628+4692</f>
        <v>12320</v>
      </c>
      <c r="R394" s="9">
        <f>486+1277</f>
        <v>1763</v>
      </c>
      <c r="S394" s="9">
        <f>3+4</f>
        <v>7</v>
      </c>
      <c r="T394" s="9">
        <f>15</f>
        <v>15</v>
      </c>
      <c r="U394" s="9">
        <f>87+204</f>
        <v>291</v>
      </c>
    </row>
    <row r="395" spans="1:21">
      <c r="A395" s="2">
        <f t="shared" si="17"/>
        <v>2007</v>
      </c>
      <c r="B395" s="2">
        <f t="shared" si="18"/>
        <v>6</v>
      </c>
      <c r="C395" s="16">
        <f t="shared" si="13"/>
        <v>19615</v>
      </c>
      <c r="D395" s="9">
        <f>4777+4246</f>
        <v>9023</v>
      </c>
      <c r="E395" s="9">
        <f>2235+5736</f>
        <v>7971</v>
      </c>
      <c r="F395" s="9">
        <f>9+524</f>
        <v>533</v>
      </c>
      <c r="G395" s="9">
        <v>0</v>
      </c>
      <c r="H395" s="2">
        <f t="shared" si="16"/>
        <v>533</v>
      </c>
      <c r="I395" s="9">
        <v>8</v>
      </c>
      <c r="J395" s="9">
        <f>368+1712</f>
        <v>2080</v>
      </c>
      <c r="N395" s="2">
        <f t="shared" si="19"/>
        <v>2007</v>
      </c>
      <c r="O395" s="2">
        <f t="shared" si="20"/>
        <v>6</v>
      </c>
      <c r="P395" s="19">
        <f t="shared" si="15"/>
        <v>14384</v>
      </c>
      <c r="Q395" s="9">
        <f>7633+4674</f>
        <v>12307</v>
      </c>
      <c r="R395" s="9">
        <f>483+1271</f>
        <v>1754</v>
      </c>
      <c r="S395" s="9">
        <f>7</f>
        <v>7</v>
      </c>
      <c r="T395" s="9">
        <v>15</v>
      </c>
      <c r="U395" s="9">
        <f>89+212</f>
        <v>301</v>
      </c>
    </row>
    <row r="396" spans="1:21">
      <c r="A396" s="2">
        <f t="shared" si="17"/>
        <v>2007</v>
      </c>
      <c r="B396" s="2">
        <f t="shared" si="18"/>
        <v>7</v>
      </c>
      <c r="C396" s="16">
        <f t="shared" si="13"/>
        <v>24325</v>
      </c>
      <c r="D396" s="9">
        <f>6753+5508</f>
        <v>12261</v>
      </c>
      <c r="E396" s="9">
        <f>2563+6648</f>
        <v>9211</v>
      </c>
      <c r="F396" s="9">
        <f>11+514</f>
        <v>525</v>
      </c>
      <c r="G396" s="9">
        <v>0</v>
      </c>
      <c r="H396" s="2">
        <f t="shared" si="16"/>
        <v>525</v>
      </c>
      <c r="I396" s="9">
        <v>8</v>
      </c>
      <c r="J396" s="9">
        <f>381+1939</f>
        <v>2320</v>
      </c>
      <c r="N396" s="2">
        <f t="shared" si="19"/>
        <v>2007</v>
      </c>
      <c r="O396" s="2">
        <f t="shared" si="20"/>
        <v>7</v>
      </c>
      <c r="P396" s="19">
        <f t="shared" si="15"/>
        <v>14361</v>
      </c>
      <c r="Q396" s="9">
        <f>7630+4655</f>
        <v>12285</v>
      </c>
      <c r="R396" s="9">
        <f>478+1281</f>
        <v>1759</v>
      </c>
      <c r="S396" s="9">
        <f>7</f>
        <v>7</v>
      </c>
      <c r="T396" s="9">
        <v>15</v>
      </c>
      <c r="U396" s="9">
        <f>88+207</f>
        <v>295</v>
      </c>
    </row>
    <row r="397" spans="1:21">
      <c r="A397" s="2">
        <f t="shared" si="17"/>
        <v>2007</v>
      </c>
      <c r="B397" s="2">
        <f t="shared" si="18"/>
        <v>8</v>
      </c>
      <c r="C397" s="16">
        <f t="shared" si="13"/>
        <v>25388</v>
      </c>
      <c r="D397" s="9">
        <f>7070+5439</f>
        <v>12509</v>
      </c>
      <c r="E397" s="9">
        <f>2769+7138</f>
        <v>9907</v>
      </c>
      <c r="F397" s="9">
        <f>11+623</f>
        <v>634</v>
      </c>
      <c r="G397" s="9">
        <v>0</v>
      </c>
      <c r="H397" s="2">
        <f t="shared" si="16"/>
        <v>634</v>
      </c>
      <c r="I397" s="9">
        <v>8</v>
      </c>
      <c r="J397" s="9">
        <f>417+1913</f>
        <v>2330</v>
      </c>
      <c r="N397" s="2">
        <f t="shared" si="19"/>
        <v>2007</v>
      </c>
      <c r="O397" s="2">
        <f t="shared" si="20"/>
        <v>8</v>
      </c>
      <c r="P397" s="19">
        <f t="shared" si="15"/>
        <v>14346</v>
      </c>
      <c r="Q397" s="9">
        <f>7632+4644</f>
        <v>12276</v>
      </c>
      <c r="R397" s="9">
        <f>475+1273</f>
        <v>1748</v>
      </c>
      <c r="S397" s="9">
        <v>7</v>
      </c>
      <c r="T397" s="9">
        <v>15</v>
      </c>
      <c r="U397" s="9">
        <f>88+212</f>
        <v>300</v>
      </c>
    </row>
    <row r="398" spans="1:21">
      <c r="A398" s="2">
        <f t="shared" si="17"/>
        <v>2007</v>
      </c>
      <c r="B398" s="2">
        <f t="shared" si="18"/>
        <v>9</v>
      </c>
      <c r="C398" s="16">
        <f t="shared" si="13"/>
        <v>26904</v>
      </c>
      <c r="D398" s="9">
        <f>7581+5872</f>
        <v>13453</v>
      </c>
      <c r="E398" s="9">
        <f>2991+7265</f>
        <v>10256</v>
      </c>
      <c r="F398" s="9">
        <f>10+552</f>
        <v>562</v>
      </c>
      <c r="G398" s="9">
        <v>0</v>
      </c>
      <c r="H398" s="2">
        <f t="shared" si="16"/>
        <v>562</v>
      </c>
      <c r="I398" s="9">
        <v>8</v>
      </c>
      <c r="J398" s="9">
        <f>458+2167</f>
        <v>2625</v>
      </c>
      <c r="N398" s="2">
        <f t="shared" si="19"/>
        <v>2007</v>
      </c>
      <c r="O398" s="2">
        <f t="shared" si="20"/>
        <v>9</v>
      </c>
      <c r="P398" s="19">
        <f t="shared" si="15"/>
        <v>14298</v>
      </c>
      <c r="Q398" s="9">
        <f>7610+4621</f>
        <v>12231</v>
      </c>
      <c r="R398" s="9">
        <f>482+1264</f>
        <v>1746</v>
      </c>
      <c r="S398" s="9">
        <v>7</v>
      </c>
      <c r="T398" s="9">
        <f>15</f>
        <v>15</v>
      </c>
      <c r="U398" s="9">
        <f>89+210</f>
        <v>299</v>
      </c>
    </row>
    <row r="399" spans="1:21">
      <c r="A399" s="2">
        <f t="shared" si="17"/>
        <v>2007</v>
      </c>
      <c r="B399" s="2">
        <f t="shared" si="18"/>
        <v>10</v>
      </c>
      <c r="C399" s="16">
        <f t="shared" si="13"/>
        <v>24007</v>
      </c>
      <c r="D399" s="9">
        <f>6557+4687</f>
        <v>11244</v>
      </c>
      <c r="E399" s="9">
        <f>2795+6824</f>
        <v>9619</v>
      </c>
      <c r="F399" s="9">
        <f>11+403</f>
        <v>414</v>
      </c>
      <c r="G399" s="9">
        <v>0</v>
      </c>
      <c r="H399" s="2">
        <f t="shared" si="16"/>
        <v>414</v>
      </c>
      <c r="I399" s="9">
        <v>8</v>
      </c>
      <c r="J399" s="9">
        <f>600+2122</f>
        <v>2722</v>
      </c>
      <c r="N399" s="2">
        <f t="shared" si="19"/>
        <v>2007</v>
      </c>
      <c r="O399" s="2">
        <f t="shared" si="20"/>
        <v>10</v>
      </c>
      <c r="P399" s="19">
        <f t="shared" si="15"/>
        <v>14312</v>
      </c>
      <c r="Q399" s="9">
        <f>7621+4596</f>
        <v>12217</v>
      </c>
      <c r="R399" s="9">
        <f>486+1289</f>
        <v>1775</v>
      </c>
      <c r="S399" s="9">
        <v>7</v>
      </c>
      <c r="T399" s="9">
        <v>15</v>
      </c>
      <c r="U399" s="9">
        <f>89+209</f>
        <v>298</v>
      </c>
    </row>
    <row r="400" spans="1:21">
      <c r="A400" s="2">
        <f t="shared" si="17"/>
        <v>2007</v>
      </c>
      <c r="B400" s="2">
        <f t="shared" si="18"/>
        <v>11</v>
      </c>
      <c r="C400" s="16">
        <f t="shared" ref="C400:C419" si="21">SUM(D400:F400,I400:J400)</f>
        <v>20047</v>
      </c>
      <c r="D400" s="9">
        <f>5202+3640</f>
        <v>8842</v>
      </c>
      <c r="E400" s="9">
        <f>2662+5955</f>
        <v>8617</v>
      </c>
      <c r="F400" s="9">
        <f>10+396</f>
        <v>406</v>
      </c>
      <c r="G400" s="9">
        <v>0</v>
      </c>
      <c r="H400" s="2">
        <f t="shared" si="16"/>
        <v>406</v>
      </c>
      <c r="I400" s="9">
        <v>8</v>
      </c>
      <c r="J400" s="9">
        <f>389+1785</f>
        <v>2174</v>
      </c>
      <c r="N400" s="2">
        <f t="shared" si="19"/>
        <v>2007</v>
      </c>
      <c r="O400" s="2">
        <f t="shared" si="20"/>
        <v>11</v>
      </c>
      <c r="P400" s="19">
        <f t="shared" si="15"/>
        <v>14314</v>
      </c>
      <c r="Q400" s="9">
        <f>7652+4581</f>
        <v>12233</v>
      </c>
      <c r="R400" s="9">
        <f>484+1277</f>
        <v>1761</v>
      </c>
      <c r="S400" s="9">
        <v>7</v>
      </c>
      <c r="T400" s="9">
        <v>15</v>
      </c>
      <c r="U400" s="9">
        <f>88+210</f>
        <v>298</v>
      </c>
    </row>
    <row r="401" spans="1:21">
      <c r="A401" s="2">
        <f t="shared" si="17"/>
        <v>2007</v>
      </c>
      <c r="B401" s="2">
        <f t="shared" si="18"/>
        <v>12</v>
      </c>
      <c r="C401" s="16">
        <f t="shared" si="21"/>
        <v>19943</v>
      </c>
      <c r="D401" s="9">
        <f>5212+3770</f>
        <v>8982</v>
      </c>
      <c r="E401" s="9">
        <f>2694+5709</f>
        <v>8403</v>
      </c>
      <c r="F401" s="9">
        <f>9+396</f>
        <v>405</v>
      </c>
      <c r="G401" s="9">
        <v>0</v>
      </c>
      <c r="H401" s="2">
        <f t="shared" si="16"/>
        <v>405</v>
      </c>
      <c r="I401" s="9">
        <v>8</v>
      </c>
      <c r="J401" s="9">
        <f>367+1778</f>
        <v>2145</v>
      </c>
      <c r="N401" s="2">
        <f t="shared" si="19"/>
        <v>2007</v>
      </c>
      <c r="O401" s="2">
        <f t="shared" si="20"/>
        <v>12</v>
      </c>
      <c r="P401" s="19">
        <f t="shared" si="15"/>
        <v>14381</v>
      </c>
      <c r="Q401" s="9">
        <f>7703+4594</f>
        <v>12297</v>
      </c>
      <c r="R401" s="9">
        <f>482+1277</f>
        <v>1759</v>
      </c>
      <c r="S401" s="9">
        <v>7</v>
      </c>
      <c r="T401" s="9">
        <v>15</v>
      </c>
      <c r="U401" s="9">
        <f>93+210</f>
        <v>303</v>
      </c>
    </row>
    <row r="402" spans="1:21">
      <c r="A402" s="2">
        <f t="shared" si="17"/>
        <v>2008</v>
      </c>
      <c r="B402" s="2">
        <f t="shared" si="18"/>
        <v>1</v>
      </c>
      <c r="C402" s="16">
        <f t="shared" si="21"/>
        <v>20732</v>
      </c>
      <c r="D402" s="9">
        <f>6357+3774</f>
        <v>10131</v>
      </c>
      <c r="E402" s="9">
        <f>2728+5506</f>
        <v>8234</v>
      </c>
      <c r="F402" s="9">
        <f>7+361</f>
        <v>368</v>
      </c>
      <c r="G402" s="9">
        <v>0</v>
      </c>
      <c r="H402" s="2">
        <f t="shared" si="16"/>
        <v>368</v>
      </c>
      <c r="I402" s="9">
        <v>15</v>
      </c>
      <c r="J402" s="9">
        <f>327+1657</f>
        <v>1984</v>
      </c>
      <c r="N402" s="2">
        <f t="shared" si="19"/>
        <v>2008</v>
      </c>
      <c r="O402" s="2">
        <f t="shared" si="20"/>
        <v>1</v>
      </c>
      <c r="P402" s="19">
        <f t="shared" si="15"/>
        <v>14449</v>
      </c>
      <c r="Q402" s="9">
        <f>7771+4595</f>
        <v>12366</v>
      </c>
      <c r="R402" s="9">
        <f>482+1278</f>
        <v>1760</v>
      </c>
      <c r="S402" s="9">
        <v>7</v>
      </c>
      <c r="T402" s="9">
        <v>16</v>
      </c>
      <c r="U402" s="9">
        <f>94+206</f>
        <v>300</v>
      </c>
    </row>
    <row r="403" spans="1:21">
      <c r="A403" s="2">
        <f t="shared" si="17"/>
        <v>2008</v>
      </c>
      <c r="B403" s="2">
        <f t="shared" si="18"/>
        <v>2</v>
      </c>
      <c r="C403" s="16">
        <f t="shared" si="21"/>
        <v>18031</v>
      </c>
      <c r="D403" s="9">
        <f>5150+3149</f>
        <v>8299</v>
      </c>
      <c r="E403" s="9">
        <f>2260+5076</f>
        <v>7336</v>
      </c>
      <c r="F403" s="9">
        <f>7+405</f>
        <v>412</v>
      </c>
      <c r="G403" s="9">
        <v>0</v>
      </c>
      <c r="H403" s="2">
        <f t="shared" si="16"/>
        <v>412</v>
      </c>
      <c r="I403" s="9">
        <v>14</v>
      </c>
      <c r="J403" s="9">
        <f>351+1619</f>
        <v>1970</v>
      </c>
      <c r="N403" s="2">
        <f t="shared" si="19"/>
        <v>2008</v>
      </c>
      <c r="O403" s="2">
        <f t="shared" si="20"/>
        <v>2</v>
      </c>
      <c r="P403" s="19">
        <f t="shared" si="15"/>
        <v>14510</v>
      </c>
      <c r="Q403" s="9">
        <f>7800+4632</f>
        <v>12432</v>
      </c>
      <c r="R403" s="9">
        <f>479+1272</f>
        <v>1751</v>
      </c>
      <c r="S403" s="9">
        <v>7</v>
      </c>
      <c r="T403" s="9">
        <v>17</v>
      </c>
      <c r="U403" s="9">
        <f>94+209</f>
        <v>303</v>
      </c>
    </row>
    <row r="404" spans="1:21">
      <c r="A404" s="2">
        <f t="shared" si="17"/>
        <v>2008</v>
      </c>
      <c r="B404" s="2">
        <f t="shared" si="18"/>
        <v>3</v>
      </c>
      <c r="C404" s="16">
        <f t="shared" si="21"/>
        <v>19554</v>
      </c>
      <c r="D404" s="9">
        <f>5680+3481</f>
        <v>9161</v>
      </c>
      <c r="E404" s="9">
        <f>2447+5362</f>
        <v>7809</v>
      </c>
      <c r="F404" s="9">
        <f>12+436</f>
        <v>448</v>
      </c>
      <c r="G404" s="9">
        <v>0</v>
      </c>
      <c r="H404" s="2">
        <f t="shared" si="16"/>
        <v>448</v>
      </c>
      <c r="I404" s="9">
        <v>14</v>
      </c>
      <c r="J404" s="9">
        <f>371+1751</f>
        <v>2122</v>
      </c>
      <c r="N404" s="2">
        <f t="shared" si="19"/>
        <v>2008</v>
      </c>
      <c r="O404" s="2">
        <f t="shared" si="20"/>
        <v>3</v>
      </c>
      <c r="P404" s="19">
        <f t="shared" si="15"/>
        <v>14513</v>
      </c>
      <c r="Q404" s="9">
        <f>7803+4634</f>
        <v>12437</v>
      </c>
      <c r="R404" s="9">
        <f>481+1272</f>
        <v>1753</v>
      </c>
      <c r="S404" s="9">
        <v>7</v>
      </c>
      <c r="T404" s="9">
        <v>15</v>
      </c>
      <c r="U404" s="9">
        <f>94+207</f>
        <v>301</v>
      </c>
    </row>
    <row r="405" spans="1:21">
      <c r="A405" s="2">
        <f t="shared" si="17"/>
        <v>2008</v>
      </c>
      <c r="B405" s="2">
        <f t="shared" si="18"/>
        <v>4</v>
      </c>
      <c r="C405" s="16">
        <f t="shared" si="21"/>
        <v>19532</v>
      </c>
      <c r="D405" s="9">
        <f>5471+3421</f>
        <v>8892</v>
      </c>
      <c r="E405" s="9">
        <f>2660+5641</f>
        <v>8301</v>
      </c>
      <c r="F405" s="9">
        <f>9+332</f>
        <v>341</v>
      </c>
      <c r="G405" s="9">
        <v>0</v>
      </c>
      <c r="H405" s="2">
        <f t="shared" ref="H405:H415" si="22">F405-G405</f>
        <v>341</v>
      </c>
      <c r="I405" s="9">
        <v>14</v>
      </c>
      <c r="J405" s="9">
        <f>347+1637</f>
        <v>1984</v>
      </c>
      <c r="N405" s="2">
        <f t="shared" si="19"/>
        <v>2008</v>
      </c>
      <c r="O405" s="2">
        <f t="shared" si="20"/>
        <v>4</v>
      </c>
      <c r="P405" s="19">
        <f>SUM(Q405:U405)</f>
        <v>14428</v>
      </c>
      <c r="Q405" s="9">
        <f>7734+4625</f>
        <v>12359</v>
      </c>
      <c r="R405" s="9">
        <f>481+1263</f>
        <v>1744</v>
      </c>
      <c r="S405" s="9">
        <v>7</v>
      </c>
      <c r="T405" s="9">
        <v>15</v>
      </c>
      <c r="U405" s="9">
        <f>93+210</f>
        <v>303</v>
      </c>
    </row>
    <row r="406" spans="1:21">
      <c r="A406" s="2">
        <f t="shared" si="17"/>
        <v>2008</v>
      </c>
      <c r="B406" s="2">
        <f t="shared" si="18"/>
        <v>5</v>
      </c>
      <c r="C406" s="16">
        <f t="shared" si="21"/>
        <v>18655</v>
      </c>
      <c r="D406" s="9">
        <f>4798+3565</f>
        <v>8363</v>
      </c>
      <c r="E406" s="9">
        <f>2512+5567</f>
        <v>8079</v>
      </c>
      <c r="F406" s="9">
        <f>9+218</f>
        <v>227</v>
      </c>
      <c r="G406" s="9">
        <v>0</v>
      </c>
      <c r="H406" s="2">
        <f t="shared" si="22"/>
        <v>227</v>
      </c>
      <c r="I406" s="9">
        <v>14</v>
      </c>
      <c r="J406" s="9">
        <f>344+1628</f>
        <v>1972</v>
      </c>
      <c r="N406" s="2">
        <f t="shared" si="19"/>
        <v>2008</v>
      </c>
      <c r="O406" s="2">
        <f t="shared" si="20"/>
        <v>5</v>
      </c>
      <c r="P406" s="19">
        <f>SUM(Q406:U406)</f>
        <v>14361</v>
      </c>
      <c r="Q406" s="9">
        <f>7675+4619</f>
        <v>12294</v>
      </c>
      <c r="R406" s="9">
        <f>480+1257</f>
        <v>1737</v>
      </c>
      <c r="S406" s="9">
        <v>7</v>
      </c>
      <c r="T406" s="9">
        <v>15</v>
      </c>
      <c r="U406" s="9">
        <f>93+215</f>
        <v>308</v>
      </c>
    </row>
    <row r="407" spans="1:21">
      <c r="A407" s="2">
        <f t="shared" si="17"/>
        <v>2008</v>
      </c>
      <c r="B407" s="2">
        <f t="shared" si="18"/>
        <v>6</v>
      </c>
      <c r="C407" s="16">
        <f t="shared" si="21"/>
        <v>24290</v>
      </c>
      <c r="D407" s="9">
        <f>6885+5291</f>
        <v>12176</v>
      </c>
      <c r="E407" s="9">
        <f>2868+6643</f>
        <v>9511</v>
      </c>
      <c r="F407" s="9">
        <f>9+262</f>
        <v>271</v>
      </c>
      <c r="G407" s="9">
        <v>0</v>
      </c>
      <c r="H407" s="2">
        <f t="shared" si="22"/>
        <v>271</v>
      </c>
      <c r="I407" s="9">
        <v>14</v>
      </c>
      <c r="J407" s="9">
        <f>426+1892</f>
        <v>2318</v>
      </c>
      <c r="N407" s="2">
        <f t="shared" si="19"/>
        <v>2008</v>
      </c>
      <c r="O407" s="2">
        <f t="shared" si="20"/>
        <v>6</v>
      </c>
      <c r="P407" s="19">
        <f>SUM(Q407:U407)</f>
        <v>14313</v>
      </c>
      <c r="Q407" s="9">
        <f>7652+4581</f>
        <v>12233</v>
      </c>
      <c r="R407" s="9">
        <f>481+1267</f>
        <v>1748</v>
      </c>
      <c r="S407" s="9">
        <v>7</v>
      </c>
      <c r="T407" s="9">
        <v>15</v>
      </c>
      <c r="U407" s="9">
        <f>94+216</f>
        <v>310</v>
      </c>
    </row>
    <row r="408" spans="1:21">
      <c r="A408" s="2">
        <f t="shared" si="17"/>
        <v>2008</v>
      </c>
      <c r="B408" s="2">
        <f t="shared" si="18"/>
        <v>7</v>
      </c>
      <c r="C408" s="16">
        <f t="shared" si="21"/>
        <v>23634</v>
      </c>
      <c r="D408" s="9">
        <f>6118+4554</f>
        <v>10672</v>
      </c>
      <c r="E408" s="9">
        <f>3120+7190</f>
        <v>10310</v>
      </c>
      <c r="F408" s="9">
        <f>11+347</f>
        <v>358</v>
      </c>
      <c r="G408" s="9">
        <v>0</v>
      </c>
      <c r="H408" s="2">
        <f t="shared" si="22"/>
        <v>358</v>
      </c>
      <c r="I408" s="9">
        <v>15</v>
      </c>
      <c r="J408" s="9">
        <f>382+1897</f>
        <v>2279</v>
      </c>
      <c r="N408" s="2">
        <f t="shared" si="19"/>
        <v>2008</v>
      </c>
      <c r="O408" s="2">
        <f t="shared" si="20"/>
        <v>7</v>
      </c>
      <c r="P408" s="19">
        <f t="shared" ref="P408:P413" si="23">SUM(Q408:U408)</f>
        <v>14283</v>
      </c>
      <c r="Q408" s="9">
        <f>7640+4564</f>
        <v>12204</v>
      </c>
      <c r="R408" s="9">
        <f>485+1259</f>
        <v>1744</v>
      </c>
      <c r="S408" s="9">
        <v>7</v>
      </c>
      <c r="T408" s="9">
        <v>15</v>
      </c>
      <c r="U408" s="9">
        <f>94+219</f>
        <v>313</v>
      </c>
    </row>
    <row r="409" spans="1:21">
      <c r="A409" s="2">
        <f t="shared" si="17"/>
        <v>2008</v>
      </c>
      <c r="B409" s="2">
        <f t="shared" si="18"/>
        <v>8</v>
      </c>
      <c r="C409" s="16">
        <f t="shared" si="21"/>
        <v>22428</v>
      </c>
      <c r="D409" s="9">
        <f>6223+4875</f>
        <v>11098</v>
      </c>
      <c r="E409" s="9">
        <f>2649+6230</f>
        <v>8879</v>
      </c>
      <c r="F409" s="9">
        <f>6+368</f>
        <v>374</v>
      </c>
      <c r="G409" s="9">
        <v>0</v>
      </c>
      <c r="H409" s="2">
        <f t="shared" si="22"/>
        <v>374</v>
      </c>
      <c r="I409" s="9">
        <v>13</v>
      </c>
      <c r="J409" s="9">
        <f>299+1765</f>
        <v>2064</v>
      </c>
      <c r="N409" s="2">
        <f t="shared" si="19"/>
        <v>2008</v>
      </c>
      <c r="O409" s="2">
        <f t="shared" si="20"/>
        <v>8</v>
      </c>
      <c r="P409" s="19">
        <f t="shared" si="23"/>
        <v>14188</v>
      </c>
      <c r="Q409" s="9">
        <f>7575+4541</f>
        <v>12116</v>
      </c>
      <c r="R409" s="9">
        <f>476+1252</f>
        <v>1728</v>
      </c>
      <c r="S409" s="9">
        <v>7</v>
      </c>
      <c r="T409" s="9">
        <v>15</v>
      </c>
      <c r="U409" s="9">
        <f>95+227</f>
        <v>322</v>
      </c>
    </row>
    <row r="410" spans="1:21">
      <c r="A410" s="2">
        <f t="shared" si="17"/>
        <v>2008</v>
      </c>
      <c r="B410" s="2">
        <f t="shared" si="18"/>
        <v>9</v>
      </c>
      <c r="C410" s="16">
        <f t="shared" si="21"/>
        <v>26245</v>
      </c>
      <c r="D410" s="9">
        <f>7182+5437</f>
        <v>12619</v>
      </c>
      <c r="E410" s="9">
        <f>3120+7355</f>
        <v>10475</v>
      </c>
      <c r="F410" s="9">
        <f>7+404</f>
        <v>411</v>
      </c>
      <c r="G410" s="9">
        <v>0</v>
      </c>
      <c r="H410" s="2">
        <f t="shared" si="22"/>
        <v>411</v>
      </c>
      <c r="I410" s="9">
        <f>8+7</f>
        <v>15</v>
      </c>
      <c r="J410" s="9">
        <f>464+2261</f>
        <v>2725</v>
      </c>
      <c r="N410" s="2">
        <f t="shared" si="19"/>
        <v>2008</v>
      </c>
      <c r="O410" s="2">
        <f t="shared" si="20"/>
        <v>9</v>
      </c>
      <c r="P410" s="19">
        <f t="shared" si="23"/>
        <v>14159</v>
      </c>
      <c r="Q410" s="9">
        <f>7567+4541</f>
        <v>12108</v>
      </c>
      <c r="R410" s="9">
        <f>476+1238</f>
        <v>1714</v>
      </c>
      <c r="S410" s="9">
        <v>7</v>
      </c>
      <c r="T410" s="9">
        <v>15</v>
      </c>
      <c r="U410" s="9">
        <f>95+220</f>
        <v>315</v>
      </c>
    </row>
    <row r="411" spans="1:21">
      <c r="A411" s="2">
        <f t="shared" si="17"/>
        <v>2008</v>
      </c>
      <c r="B411" s="2">
        <f t="shared" si="18"/>
        <v>10</v>
      </c>
      <c r="C411" s="16">
        <f t="shared" si="21"/>
        <v>21082</v>
      </c>
      <c r="D411" s="9">
        <f>5779+4230</f>
        <v>10009</v>
      </c>
      <c r="E411" s="9">
        <f>2603+5879</f>
        <v>8482</v>
      </c>
      <c r="F411" s="9">
        <f>7+351</f>
        <v>358</v>
      </c>
      <c r="G411" s="9">
        <v>0</v>
      </c>
      <c r="H411" s="2">
        <f t="shared" si="22"/>
        <v>358</v>
      </c>
      <c r="I411" s="9">
        <f>8+7</f>
        <v>15</v>
      </c>
      <c r="J411" s="9">
        <f>372+1846</f>
        <v>2218</v>
      </c>
      <c r="N411" s="2">
        <f t="shared" si="19"/>
        <v>2008</v>
      </c>
      <c r="O411" s="2">
        <f t="shared" si="20"/>
        <v>10</v>
      </c>
      <c r="P411" s="19">
        <f t="shared" si="23"/>
        <v>14133</v>
      </c>
      <c r="Q411" s="9">
        <f>7548+4530</f>
        <v>12078</v>
      </c>
      <c r="R411" s="9">
        <f>476+1238</f>
        <v>1714</v>
      </c>
      <c r="S411" s="9">
        <v>7</v>
      </c>
      <c r="T411" s="9">
        <v>15</v>
      </c>
      <c r="U411" s="9">
        <f>95+224</f>
        <v>319</v>
      </c>
    </row>
    <row r="412" spans="1:21">
      <c r="A412" s="2">
        <f t="shared" si="17"/>
        <v>2008</v>
      </c>
      <c r="B412" s="2">
        <f t="shared" si="18"/>
        <v>11</v>
      </c>
      <c r="C412" s="16">
        <f t="shared" si="21"/>
        <v>18775</v>
      </c>
      <c r="D412" s="9">
        <f>4832+3399</f>
        <v>8231</v>
      </c>
      <c r="E412" s="9">
        <f>2395+5622</f>
        <v>8017</v>
      </c>
      <c r="F412" s="9">
        <f>8+370</f>
        <v>378</v>
      </c>
      <c r="G412" s="9">
        <v>0</v>
      </c>
      <c r="H412" s="2">
        <f t="shared" si="22"/>
        <v>378</v>
      </c>
      <c r="I412" s="9">
        <v>15</v>
      </c>
      <c r="J412" s="9">
        <f>337+1797</f>
        <v>2134</v>
      </c>
      <c r="N412" s="2">
        <f t="shared" si="19"/>
        <v>2008</v>
      </c>
      <c r="O412" s="2">
        <f t="shared" si="20"/>
        <v>11</v>
      </c>
      <c r="P412" s="19">
        <f t="shared" si="23"/>
        <v>14137</v>
      </c>
      <c r="Q412" s="9">
        <f>7590+4505</f>
        <v>12095</v>
      </c>
      <c r="R412" s="9">
        <f>476+1230</f>
        <v>1706</v>
      </c>
      <c r="S412" s="9">
        <v>7</v>
      </c>
      <c r="T412" s="9">
        <v>15</v>
      </c>
      <c r="U412" s="9">
        <f>94+220</f>
        <v>314</v>
      </c>
    </row>
    <row r="413" spans="1:21">
      <c r="A413" s="2">
        <f t="shared" si="17"/>
        <v>2008</v>
      </c>
      <c r="B413" s="2">
        <f t="shared" si="18"/>
        <v>12</v>
      </c>
      <c r="C413" s="16">
        <f t="shared" si="21"/>
        <v>19212</v>
      </c>
      <c r="D413" s="9">
        <f>6000+3556</f>
        <v>9556</v>
      </c>
      <c r="E413" s="9">
        <f>2264+5119</f>
        <v>7383</v>
      </c>
      <c r="F413" s="9">
        <f>7+206</f>
        <v>213</v>
      </c>
      <c r="G413" s="9">
        <v>0</v>
      </c>
      <c r="H413" s="2">
        <f t="shared" si="22"/>
        <v>213</v>
      </c>
      <c r="I413" s="9">
        <v>17</v>
      </c>
      <c r="J413" s="9">
        <f>328+1715</f>
        <v>2043</v>
      </c>
      <c r="N413" s="2">
        <f t="shared" si="19"/>
        <v>2008</v>
      </c>
      <c r="O413" s="2">
        <f t="shared" si="20"/>
        <v>12</v>
      </c>
      <c r="P413" s="19">
        <f t="shared" si="23"/>
        <v>14172</v>
      </c>
      <c r="Q413" s="9">
        <f>7649+4483</f>
        <v>12132</v>
      </c>
      <c r="R413" s="9">
        <f>470+1219</f>
        <v>1689</v>
      </c>
      <c r="S413" s="9">
        <v>7</v>
      </c>
      <c r="T413" s="9">
        <v>15</v>
      </c>
      <c r="U413" s="9">
        <f>100+229</f>
        <v>329</v>
      </c>
    </row>
    <row r="414" spans="1:21">
      <c r="A414" s="2">
        <f t="shared" si="17"/>
        <v>2009</v>
      </c>
      <c r="B414" s="2">
        <f t="shared" si="18"/>
        <v>1</v>
      </c>
      <c r="C414" s="16">
        <f t="shared" si="21"/>
        <v>19224</v>
      </c>
      <c r="D414" s="9">
        <f>5517+3239</f>
        <v>8756</v>
      </c>
      <c r="E414" s="9">
        <f>2625+5598</f>
        <v>8223</v>
      </c>
      <c r="F414" s="9">
        <f>6+159</f>
        <v>165</v>
      </c>
      <c r="G414" s="9">
        <v>0</v>
      </c>
      <c r="H414" s="2">
        <f t="shared" si="22"/>
        <v>165</v>
      </c>
      <c r="I414" s="9">
        <f>7+10</f>
        <v>17</v>
      </c>
      <c r="J414" s="9">
        <f>288+1775</f>
        <v>2063</v>
      </c>
      <c r="N414" s="2">
        <f t="shared" si="19"/>
        <v>2009</v>
      </c>
      <c r="O414" s="2">
        <f t="shared" si="20"/>
        <v>1</v>
      </c>
      <c r="P414" s="19">
        <f t="shared" ref="P414:P422" si="24">SUM(Q414:U414)</f>
        <v>14235</v>
      </c>
      <c r="Q414" s="9">
        <f>7715+4491</f>
        <v>12206</v>
      </c>
      <c r="R414" s="9">
        <f>471+1210</f>
        <v>1681</v>
      </c>
      <c r="S414" s="9">
        <v>7</v>
      </c>
      <c r="T414" s="9">
        <v>15</v>
      </c>
      <c r="U414" s="9">
        <f>101+225</f>
        <v>326</v>
      </c>
    </row>
    <row r="415" spans="1:21">
      <c r="A415" s="2">
        <f t="shared" si="17"/>
        <v>2009</v>
      </c>
      <c r="B415" s="2">
        <f t="shared" si="18"/>
        <v>2</v>
      </c>
      <c r="C415" s="16">
        <f t="shared" si="21"/>
        <v>22316</v>
      </c>
      <c r="D415" s="9">
        <f>8338+4587</f>
        <v>12925</v>
      </c>
      <c r="E415" s="9">
        <f>2191+4991</f>
        <v>7182</v>
      </c>
      <c r="F415" s="9">
        <f>8+185</f>
        <v>193</v>
      </c>
      <c r="G415" s="9">
        <v>0</v>
      </c>
      <c r="H415" s="2">
        <f t="shared" si="22"/>
        <v>193</v>
      </c>
      <c r="I415" s="9">
        <f>8+7</f>
        <v>15</v>
      </c>
      <c r="J415" s="9">
        <f>353+1648</f>
        <v>2001</v>
      </c>
      <c r="N415" s="2">
        <f t="shared" si="19"/>
        <v>2009</v>
      </c>
      <c r="O415" s="2">
        <f t="shared" si="20"/>
        <v>2</v>
      </c>
      <c r="P415" s="19">
        <f t="shared" si="24"/>
        <v>14270</v>
      </c>
      <c r="Q415" s="9">
        <f>7742+4502</f>
        <v>12244</v>
      </c>
      <c r="R415" s="9">
        <f>471+1213</f>
        <v>1684</v>
      </c>
      <c r="S415" s="9">
        <v>7</v>
      </c>
      <c r="T415" s="9">
        <v>15</v>
      </c>
      <c r="U415" s="9">
        <f>96+224</f>
        <v>320</v>
      </c>
    </row>
    <row r="416" spans="1:21">
      <c r="A416" s="2">
        <f t="shared" si="17"/>
        <v>2009</v>
      </c>
      <c r="B416" s="2">
        <f t="shared" si="18"/>
        <v>3</v>
      </c>
      <c r="C416" s="16">
        <f t="shared" si="21"/>
        <v>17763</v>
      </c>
      <c r="D416" s="9">
        <f>5361+3129</f>
        <v>8490</v>
      </c>
      <c r="E416" s="9">
        <f>2200+4904</f>
        <v>7104</v>
      </c>
      <c r="F416" s="9">
        <f>8+224</f>
        <v>232</v>
      </c>
      <c r="G416" s="9">
        <v>0</v>
      </c>
      <c r="H416" s="2">
        <f t="shared" ref="H416:H426" si="25">F416-G416</f>
        <v>232</v>
      </c>
      <c r="I416" s="9">
        <v>15</v>
      </c>
      <c r="J416" s="9">
        <f>307+1615</f>
        <v>1922</v>
      </c>
      <c r="N416" s="2">
        <f t="shared" si="19"/>
        <v>2009</v>
      </c>
      <c r="O416" s="2">
        <f t="shared" si="20"/>
        <v>3</v>
      </c>
      <c r="P416" s="19">
        <f t="shared" si="24"/>
        <v>14272</v>
      </c>
      <c r="Q416" s="9">
        <f>7752+4498</f>
        <v>12250</v>
      </c>
      <c r="R416" s="9">
        <f>469+1211</f>
        <v>1680</v>
      </c>
      <c r="S416" s="9">
        <v>7</v>
      </c>
      <c r="T416" s="9">
        <v>15</v>
      </c>
      <c r="U416" s="9">
        <f>95+225</f>
        <v>320</v>
      </c>
    </row>
    <row r="417" spans="1:21">
      <c r="A417" s="2">
        <f t="shared" si="17"/>
        <v>2009</v>
      </c>
      <c r="B417" s="2">
        <f t="shared" si="18"/>
        <v>4</v>
      </c>
      <c r="C417" s="16">
        <f t="shared" si="21"/>
        <v>18346</v>
      </c>
      <c r="D417" s="9">
        <f>5078+3122</f>
        <v>8200</v>
      </c>
      <c r="E417" s="9">
        <f>2369+5530</f>
        <v>7899</v>
      </c>
      <c r="F417" s="9">
        <f>7+177</f>
        <v>184</v>
      </c>
      <c r="G417" s="9">
        <v>0</v>
      </c>
      <c r="H417" s="2">
        <f t="shared" si="25"/>
        <v>184</v>
      </c>
      <c r="I417" s="9">
        <f>17</f>
        <v>17</v>
      </c>
      <c r="J417" s="9">
        <f>303+1743</f>
        <v>2046</v>
      </c>
      <c r="N417" s="2">
        <f t="shared" si="19"/>
        <v>2009</v>
      </c>
      <c r="O417" s="2">
        <f t="shared" si="20"/>
        <v>4</v>
      </c>
      <c r="P417" s="19">
        <f t="shared" si="24"/>
        <v>14131</v>
      </c>
      <c r="Q417" s="9">
        <f>7627+4476</f>
        <v>12103</v>
      </c>
      <c r="R417" s="9">
        <f>469+1214</f>
        <v>1683</v>
      </c>
      <c r="S417" s="9">
        <v>7</v>
      </c>
      <c r="T417" s="9">
        <v>15</v>
      </c>
      <c r="U417" s="9">
        <f>95+228</f>
        <v>323</v>
      </c>
    </row>
    <row r="418" spans="1:21">
      <c r="A418" s="2">
        <f t="shared" si="17"/>
        <v>2009</v>
      </c>
      <c r="B418" s="2">
        <f t="shared" si="18"/>
        <v>5</v>
      </c>
      <c r="C418" s="16">
        <f t="shared" si="21"/>
        <v>19858</v>
      </c>
      <c r="D418" s="9">
        <f>5603+3826</f>
        <v>9429</v>
      </c>
      <c r="E418" s="9">
        <f>2401+5726</f>
        <v>8127</v>
      </c>
      <c r="F418" s="9">
        <f>8+242</f>
        <v>250</v>
      </c>
      <c r="G418" s="9">
        <v>0</v>
      </c>
      <c r="H418" s="2">
        <f t="shared" si="25"/>
        <v>250</v>
      </c>
      <c r="I418" s="9">
        <v>16</v>
      </c>
      <c r="J418" s="9">
        <f>300+1736</f>
        <v>2036</v>
      </c>
      <c r="N418" s="2">
        <f t="shared" si="19"/>
        <v>2009</v>
      </c>
      <c r="O418" s="2">
        <f t="shared" si="20"/>
        <v>5</v>
      </c>
      <c r="P418" s="19">
        <f t="shared" si="24"/>
        <v>14077</v>
      </c>
      <c r="Q418" s="9">
        <f>7564+4480</f>
        <v>12044</v>
      </c>
      <c r="R418" s="9">
        <f>472+1220</f>
        <v>1692</v>
      </c>
      <c r="S418" s="9">
        <v>7</v>
      </c>
      <c r="T418" s="9">
        <v>15</v>
      </c>
      <c r="U418" s="9">
        <f>92+227</f>
        <v>319</v>
      </c>
    </row>
    <row r="419" spans="1:21">
      <c r="A419" s="2">
        <f t="shared" si="17"/>
        <v>2009</v>
      </c>
      <c r="B419" s="2">
        <f t="shared" si="18"/>
        <v>6</v>
      </c>
      <c r="C419" s="16">
        <f t="shared" si="21"/>
        <v>20800</v>
      </c>
      <c r="D419" s="9">
        <f>5137+4279</f>
        <v>9416</v>
      </c>
      <c r="E419" s="9">
        <f>2631+6094</f>
        <v>8725</v>
      </c>
      <c r="F419" s="9">
        <f>7+377</f>
        <v>384</v>
      </c>
      <c r="G419" s="9">
        <v>0</v>
      </c>
      <c r="H419" s="2">
        <f t="shared" si="25"/>
        <v>384</v>
      </c>
      <c r="I419" s="9">
        <v>15</v>
      </c>
      <c r="J419" s="9">
        <f>336+1924</f>
        <v>2260</v>
      </c>
      <c r="N419" s="2">
        <f t="shared" si="19"/>
        <v>2009</v>
      </c>
      <c r="O419" s="2">
        <f t="shared" si="20"/>
        <v>6</v>
      </c>
      <c r="P419" s="19">
        <f t="shared" si="24"/>
        <v>14041</v>
      </c>
      <c r="Q419" s="9">
        <f>7547+4462</f>
        <v>12009</v>
      </c>
      <c r="R419" s="9">
        <f>473+1222</f>
        <v>1695</v>
      </c>
      <c r="S419" s="9">
        <v>7</v>
      </c>
      <c r="T419" s="9">
        <v>15</v>
      </c>
      <c r="U419" s="9">
        <f>89+226</f>
        <v>315</v>
      </c>
    </row>
    <row r="420" spans="1:21">
      <c r="A420" s="2">
        <f t="shared" si="17"/>
        <v>2009</v>
      </c>
      <c r="B420" s="2">
        <f t="shared" si="18"/>
        <v>7</v>
      </c>
      <c r="C420" s="16">
        <f t="shared" ref="C420:C425" si="26">SUM(D420:F420,I420:J420)</f>
        <v>23942</v>
      </c>
      <c r="D420" s="9">
        <f>6657+5090</f>
        <v>11747</v>
      </c>
      <c r="E420" s="9">
        <f>2636+6916</f>
        <v>9552</v>
      </c>
      <c r="F420" s="9">
        <f>7+467</f>
        <v>474</v>
      </c>
      <c r="G420" s="9">
        <v>0</v>
      </c>
      <c r="H420" s="2">
        <f t="shared" si="25"/>
        <v>474</v>
      </c>
      <c r="I420" s="9">
        <v>15</v>
      </c>
      <c r="J420" s="9">
        <f>302+1852</f>
        <v>2154</v>
      </c>
      <c r="N420" s="2">
        <f t="shared" si="19"/>
        <v>2009</v>
      </c>
      <c r="O420" s="2">
        <f t="shared" si="20"/>
        <v>7</v>
      </c>
      <c r="P420" s="19">
        <f t="shared" si="24"/>
        <v>14043</v>
      </c>
      <c r="Q420" s="9">
        <f>7543+4464</f>
        <v>12007</v>
      </c>
      <c r="R420" s="9">
        <f>469+1228</f>
        <v>1697</v>
      </c>
      <c r="S420" s="9">
        <v>7</v>
      </c>
      <c r="T420" s="9">
        <v>15</v>
      </c>
      <c r="U420" s="9">
        <f>91+226</f>
        <v>317</v>
      </c>
    </row>
    <row r="421" spans="1:21">
      <c r="A421" s="2">
        <f t="shared" si="17"/>
        <v>2009</v>
      </c>
      <c r="B421" s="2">
        <f t="shared" si="18"/>
        <v>8</v>
      </c>
      <c r="C421" s="16">
        <f t="shared" si="26"/>
        <v>23247</v>
      </c>
      <c r="D421" s="9">
        <f>6705+4790</f>
        <v>11495</v>
      </c>
      <c r="E421" s="9">
        <f>2734+6569</f>
        <v>9303</v>
      </c>
      <c r="F421" s="9">
        <f>8+374</f>
        <v>382</v>
      </c>
      <c r="G421" s="9">
        <v>0</v>
      </c>
      <c r="H421" s="2">
        <f t="shared" si="25"/>
        <v>382</v>
      </c>
      <c r="I421" s="9">
        <v>16</v>
      </c>
      <c r="J421" s="9">
        <f>365+1686</f>
        <v>2051</v>
      </c>
      <c r="N421" s="2">
        <f t="shared" si="19"/>
        <v>2009</v>
      </c>
      <c r="O421" s="2">
        <f t="shared" si="20"/>
        <v>8</v>
      </c>
      <c r="P421" s="19">
        <f t="shared" si="24"/>
        <v>14020</v>
      </c>
      <c r="Q421" s="9">
        <f>7534+4448</f>
        <v>11982</v>
      </c>
      <c r="R421" s="9">
        <f>470+1225</f>
        <v>1695</v>
      </c>
      <c r="S421" s="9">
        <v>7</v>
      </c>
      <c r="T421" s="9">
        <v>15</v>
      </c>
      <c r="U421" s="9">
        <f>94+227</f>
        <v>321</v>
      </c>
    </row>
    <row r="422" spans="1:21">
      <c r="A422" s="2">
        <f t="shared" si="17"/>
        <v>2009</v>
      </c>
      <c r="B422" s="2">
        <f t="shared" si="18"/>
        <v>9</v>
      </c>
      <c r="C422" s="16">
        <f t="shared" si="26"/>
        <v>24439</v>
      </c>
      <c r="D422" s="9">
        <f>6737+5109</f>
        <v>11846</v>
      </c>
      <c r="E422" s="9">
        <f>2947+6902</f>
        <v>9849</v>
      </c>
      <c r="F422" s="9">
        <f>6+284</f>
        <v>290</v>
      </c>
      <c r="G422" s="9">
        <v>0</v>
      </c>
      <c r="H422" s="2">
        <f t="shared" si="25"/>
        <v>290</v>
      </c>
      <c r="I422" s="9">
        <v>16</v>
      </c>
      <c r="J422" s="9">
        <f>387+2051</f>
        <v>2438</v>
      </c>
      <c r="N422" s="2">
        <f t="shared" si="19"/>
        <v>2009</v>
      </c>
      <c r="O422" s="2">
        <f t="shared" si="20"/>
        <v>9</v>
      </c>
      <c r="P422" s="19">
        <f t="shared" si="24"/>
        <v>13988</v>
      </c>
      <c r="Q422" s="9">
        <f>7517+4436</f>
        <v>11953</v>
      </c>
      <c r="R422" s="9">
        <f>466+1228</f>
        <v>1694</v>
      </c>
      <c r="S422" s="9">
        <v>7</v>
      </c>
      <c r="T422" s="9">
        <v>15</v>
      </c>
      <c r="U422" s="9">
        <f>93+226</f>
        <v>319</v>
      </c>
    </row>
    <row r="423" spans="1:21">
      <c r="A423" s="2">
        <f t="shared" si="17"/>
        <v>2009</v>
      </c>
      <c r="B423" s="2">
        <f t="shared" si="18"/>
        <v>10</v>
      </c>
      <c r="C423" s="16">
        <f t="shared" si="26"/>
        <v>22683</v>
      </c>
      <c r="D423" s="9">
        <f>6199+4751</f>
        <v>10950</v>
      </c>
      <c r="E423" s="9">
        <f>2589+6481</f>
        <v>9070</v>
      </c>
      <c r="F423" s="9">
        <f>7+313</f>
        <v>320</v>
      </c>
      <c r="G423" s="9">
        <v>0</v>
      </c>
      <c r="H423" s="2">
        <f t="shared" si="25"/>
        <v>320</v>
      </c>
      <c r="I423" s="9">
        <f>7+10</f>
        <v>17</v>
      </c>
      <c r="J423" s="9">
        <f>381+1945</f>
        <v>2326</v>
      </c>
      <c r="N423" s="2">
        <f t="shared" si="19"/>
        <v>2009</v>
      </c>
      <c r="O423" s="2">
        <f t="shared" si="20"/>
        <v>10</v>
      </c>
      <c r="P423" s="19">
        <f t="shared" ref="P423:P437" si="27">SUM(Q423:U423)</f>
        <v>13973</v>
      </c>
      <c r="Q423" s="9">
        <f>7516+4422</f>
        <v>11938</v>
      </c>
      <c r="R423" s="9">
        <f>462+1233</f>
        <v>1695</v>
      </c>
      <c r="S423" s="9">
        <f>3+4</f>
        <v>7</v>
      </c>
      <c r="T423" s="9">
        <f>11+4</f>
        <v>15</v>
      </c>
      <c r="U423" s="9">
        <f>93+225</f>
        <v>318</v>
      </c>
    </row>
    <row r="424" spans="1:21">
      <c r="A424" s="2">
        <f t="shared" si="17"/>
        <v>2009</v>
      </c>
      <c r="B424" s="2">
        <f t="shared" si="18"/>
        <v>11</v>
      </c>
      <c r="C424" s="16">
        <f t="shared" si="26"/>
        <v>20711</v>
      </c>
      <c r="D424" s="9">
        <f>5936+3840</f>
        <v>9776</v>
      </c>
      <c r="E424" s="9">
        <f>2416+5960</f>
        <v>8376</v>
      </c>
      <c r="F424" s="9">
        <f>7+383</f>
        <v>390</v>
      </c>
      <c r="G424" s="9">
        <v>0</v>
      </c>
      <c r="H424" s="2">
        <f t="shared" si="25"/>
        <v>390</v>
      </c>
      <c r="I424" s="9">
        <v>17</v>
      </c>
      <c r="J424" s="9">
        <f>347+1805</f>
        <v>2152</v>
      </c>
      <c r="N424" s="2">
        <f t="shared" si="19"/>
        <v>2009</v>
      </c>
      <c r="O424" s="2">
        <f t="shared" si="20"/>
        <v>11</v>
      </c>
      <c r="P424" s="19">
        <f t="shared" si="27"/>
        <v>14030</v>
      </c>
      <c r="Q424" s="9">
        <f>7552+4440</f>
        <v>11992</v>
      </c>
      <c r="R424" s="9">
        <f>464+1233</f>
        <v>1697</v>
      </c>
      <c r="S424" s="9">
        <v>7</v>
      </c>
      <c r="T424" s="9">
        <v>15</v>
      </c>
      <c r="U424" s="9">
        <f>93+226</f>
        <v>319</v>
      </c>
    </row>
    <row r="425" spans="1:21">
      <c r="A425" s="2">
        <f t="shared" si="17"/>
        <v>2009</v>
      </c>
      <c r="B425" s="2">
        <f t="shared" si="18"/>
        <v>12</v>
      </c>
      <c r="C425" s="16">
        <f t="shared" si="26"/>
        <v>18013</v>
      </c>
      <c r="D425" s="9">
        <f>4805+3081</f>
        <v>7886</v>
      </c>
      <c r="E425" s="9">
        <f>2397+5420</f>
        <v>7817</v>
      </c>
      <c r="F425" s="9">
        <f>8+307</f>
        <v>315</v>
      </c>
      <c r="G425" s="9">
        <v>0</v>
      </c>
      <c r="H425" s="2">
        <f t="shared" si="25"/>
        <v>315</v>
      </c>
      <c r="I425" s="9">
        <f>8+11</f>
        <v>19</v>
      </c>
      <c r="J425" s="9">
        <f>294+1682</f>
        <v>1976</v>
      </c>
      <c r="N425" s="2">
        <f t="shared" si="19"/>
        <v>2009</v>
      </c>
      <c r="O425" s="2">
        <f t="shared" si="20"/>
        <v>12</v>
      </c>
      <c r="P425" s="19">
        <f t="shared" si="27"/>
        <v>14093</v>
      </c>
      <c r="Q425" s="9">
        <f>7613+4453</f>
        <v>12066</v>
      </c>
      <c r="R425" s="9">
        <f>464+1226</f>
        <v>1690</v>
      </c>
      <c r="S425" s="9">
        <v>7</v>
      </c>
      <c r="T425" s="9">
        <v>15</v>
      </c>
      <c r="U425" s="9">
        <f>93+222</f>
        <v>315</v>
      </c>
    </row>
    <row r="426" spans="1:21">
      <c r="A426" s="2">
        <f t="shared" si="17"/>
        <v>2010</v>
      </c>
      <c r="B426" s="2">
        <f t="shared" si="18"/>
        <v>1</v>
      </c>
      <c r="C426" s="16">
        <f t="shared" ref="C426:C473" si="28">SUM(D426:F426,I426:J426)</f>
        <v>24304</v>
      </c>
      <c r="D426" s="9">
        <f>8968+5378</f>
        <v>14346</v>
      </c>
      <c r="E426" s="9">
        <f>2249+5419</f>
        <v>7668</v>
      </c>
      <c r="F426" s="9">
        <f>6+269</f>
        <v>275</v>
      </c>
      <c r="G426" s="9">
        <v>0</v>
      </c>
      <c r="H426" s="2">
        <f t="shared" si="25"/>
        <v>275</v>
      </c>
      <c r="I426" s="9">
        <f>8+10</f>
        <v>18</v>
      </c>
      <c r="J426" s="9">
        <f>326+1671</f>
        <v>1997</v>
      </c>
      <c r="N426" s="2">
        <f t="shared" si="19"/>
        <v>2010</v>
      </c>
      <c r="O426" s="2">
        <f t="shared" si="20"/>
        <v>1</v>
      </c>
      <c r="P426" s="19">
        <f t="shared" si="27"/>
        <v>14156</v>
      </c>
      <c r="Q426" s="9">
        <f>7674+4451</f>
        <v>12125</v>
      </c>
      <c r="R426" s="9">
        <f>467+1227</f>
        <v>1694</v>
      </c>
      <c r="S426" s="9">
        <v>7</v>
      </c>
      <c r="T426" s="9">
        <v>15</v>
      </c>
      <c r="U426" s="9">
        <f>93+222</f>
        <v>315</v>
      </c>
    </row>
    <row r="427" spans="1:21">
      <c r="A427" s="2">
        <f t="shared" si="17"/>
        <v>2010</v>
      </c>
      <c r="B427" s="2">
        <f t="shared" si="18"/>
        <v>2</v>
      </c>
      <c r="C427" s="16">
        <f t="shared" si="28"/>
        <v>20477</v>
      </c>
      <c r="D427" s="9">
        <f>6862+3883</f>
        <v>10745</v>
      </c>
      <c r="E427" s="9">
        <f>2103+5146</f>
        <v>7249</v>
      </c>
      <c r="F427" s="9">
        <f>7+393</f>
        <v>400</v>
      </c>
      <c r="G427" s="9">
        <v>0</v>
      </c>
      <c r="H427" s="2">
        <f t="shared" ref="H427:H456" si="29">F427-G427</f>
        <v>400</v>
      </c>
      <c r="I427" s="9">
        <v>19</v>
      </c>
      <c r="J427" s="9">
        <f>344+1720</f>
        <v>2064</v>
      </c>
      <c r="N427" s="2">
        <f t="shared" si="19"/>
        <v>2010</v>
      </c>
      <c r="O427" s="2">
        <f t="shared" si="20"/>
        <v>2</v>
      </c>
      <c r="P427" s="19">
        <f t="shared" si="27"/>
        <v>14158</v>
      </c>
      <c r="Q427" s="9">
        <f>7689+4446</f>
        <v>12135</v>
      </c>
      <c r="R427" s="9">
        <f>467+1219</f>
        <v>1686</v>
      </c>
      <c r="S427" s="9">
        <v>7</v>
      </c>
      <c r="T427" s="9">
        <v>15</v>
      </c>
      <c r="U427" s="9">
        <f>93+222</f>
        <v>315</v>
      </c>
    </row>
    <row r="428" spans="1:21">
      <c r="A428" s="2">
        <f t="shared" si="17"/>
        <v>2010</v>
      </c>
      <c r="B428" s="2">
        <f t="shared" si="18"/>
        <v>3</v>
      </c>
      <c r="C428" s="16">
        <f t="shared" si="28"/>
        <v>22595</v>
      </c>
      <c r="D428" s="9">
        <f>8747+4254</f>
        <v>13001</v>
      </c>
      <c r="E428" s="9">
        <f>2197+5120</f>
        <v>7317</v>
      </c>
      <c r="F428" s="9">
        <f>8+274</f>
        <v>282</v>
      </c>
      <c r="G428" s="9">
        <v>0</v>
      </c>
      <c r="H428" s="2">
        <f t="shared" si="29"/>
        <v>282</v>
      </c>
      <c r="I428" s="9">
        <v>19</v>
      </c>
      <c r="J428" s="9">
        <f>359+1617</f>
        <v>1976</v>
      </c>
      <c r="N428" s="2">
        <f t="shared" si="19"/>
        <v>2010</v>
      </c>
      <c r="O428" s="2">
        <f t="shared" si="20"/>
        <v>3</v>
      </c>
      <c r="P428" s="19">
        <f t="shared" si="27"/>
        <v>14239</v>
      </c>
      <c r="Q428" s="9">
        <f>7697+4504</f>
        <v>12201</v>
      </c>
      <c r="R428" s="9">
        <f>467+1234</f>
        <v>1701</v>
      </c>
      <c r="S428" s="9">
        <v>7</v>
      </c>
      <c r="T428" s="9">
        <v>15</v>
      </c>
      <c r="U428" s="9">
        <f>93+222</f>
        <v>315</v>
      </c>
    </row>
    <row r="429" spans="1:21">
      <c r="A429" s="2">
        <f t="shared" si="17"/>
        <v>2010</v>
      </c>
      <c r="B429" s="2">
        <f t="shared" si="18"/>
        <v>4</v>
      </c>
      <c r="C429" s="16">
        <f t="shared" si="28"/>
        <v>16651</v>
      </c>
      <c r="D429" s="9">
        <f>4809+2854</f>
        <v>7663</v>
      </c>
      <c r="E429" s="9">
        <f>2073+4851</f>
        <v>6924</v>
      </c>
      <c r="F429" s="9">
        <f>7+278</f>
        <v>285</v>
      </c>
      <c r="G429" s="9">
        <v>0</v>
      </c>
      <c r="H429" s="2">
        <f t="shared" si="29"/>
        <v>285</v>
      </c>
      <c r="I429" s="9">
        <v>15</v>
      </c>
      <c r="J429" s="9">
        <v>1764</v>
      </c>
      <c r="N429" s="2">
        <f t="shared" si="19"/>
        <v>2010</v>
      </c>
      <c r="O429" s="2">
        <f t="shared" si="20"/>
        <v>4</v>
      </c>
      <c r="P429" s="19">
        <f t="shared" si="27"/>
        <v>14148</v>
      </c>
      <c r="Q429" s="9">
        <f>7612+4518</f>
        <v>12130</v>
      </c>
      <c r="R429" s="9">
        <f>468+1233</f>
        <v>1701</v>
      </c>
      <c r="S429" s="9">
        <v>6</v>
      </c>
      <c r="T429" s="9">
        <v>15</v>
      </c>
      <c r="U429" s="9">
        <f>93+203</f>
        <v>296</v>
      </c>
    </row>
    <row r="430" spans="1:21">
      <c r="A430" s="2">
        <f t="shared" si="17"/>
        <v>2010</v>
      </c>
      <c r="B430" s="2">
        <f t="shared" si="18"/>
        <v>5</v>
      </c>
      <c r="C430" s="16">
        <f t="shared" si="28"/>
        <v>19774</v>
      </c>
      <c r="D430" s="9">
        <f>5267+3904</f>
        <v>9171</v>
      </c>
      <c r="E430" s="9">
        <f>2437+5744</f>
        <v>8181</v>
      </c>
      <c r="F430" s="9">
        <f>6+338</f>
        <v>344</v>
      </c>
      <c r="G430" s="9">
        <v>0</v>
      </c>
      <c r="H430" s="2">
        <f t="shared" si="29"/>
        <v>344</v>
      </c>
      <c r="I430" s="9">
        <v>16</v>
      </c>
      <c r="J430" s="9">
        <f>315+1747</f>
        <v>2062</v>
      </c>
      <c r="N430" s="2">
        <f t="shared" si="19"/>
        <v>2010</v>
      </c>
      <c r="O430" s="2">
        <f t="shared" si="20"/>
        <v>5</v>
      </c>
      <c r="P430" s="19">
        <f t="shared" si="27"/>
        <v>14107</v>
      </c>
      <c r="Q430" s="9">
        <f>7555+4510</f>
        <v>12065</v>
      </c>
      <c r="R430" s="9">
        <f>465+1244</f>
        <v>1709</v>
      </c>
      <c r="S430" s="9">
        <v>6</v>
      </c>
      <c r="T430" s="9">
        <v>15</v>
      </c>
      <c r="U430" s="9">
        <f>92+220</f>
        <v>312</v>
      </c>
    </row>
    <row r="431" spans="1:21">
      <c r="A431" s="2">
        <f t="shared" si="17"/>
        <v>2010</v>
      </c>
      <c r="B431" s="2">
        <f t="shared" si="18"/>
        <v>6</v>
      </c>
      <c r="C431" s="16">
        <f t="shared" si="28"/>
        <v>22997</v>
      </c>
      <c r="D431" s="9">
        <f>6159+4737</f>
        <v>10896</v>
      </c>
      <c r="E431" s="9">
        <f>2592+6666</f>
        <v>9258</v>
      </c>
      <c r="F431" s="9">
        <f>6+468</f>
        <v>474</v>
      </c>
      <c r="G431" s="9">
        <v>0</v>
      </c>
      <c r="H431" s="2">
        <f t="shared" si="29"/>
        <v>474</v>
      </c>
      <c r="I431" s="9">
        <v>16</v>
      </c>
      <c r="J431" s="9">
        <f>366+1987</f>
        <v>2353</v>
      </c>
      <c r="N431" s="2">
        <f t="shared" si="19"/>
        <v>2010</v>
      </c>
      <c r="O431" s="2">
        <f t="shared" si="20"/>
        <v>6</v>
      </c>
      <c r="P431" s="19">
        <f t="shared" si="27"/>
        <v>14108</v>
      </c>
      <c r="Q431" s="9">
        <f>7544+4533</f>
        <v>12077</v>
      </c>
      <c r="R431" s="9">
        <f>469+1229</f>
        <v>1698</v>
      </c>
      <c r="S431" s="9">
        <v>6</v>
      </c>
      <c r="T431" s="9">
        <v>15</v>
      </c>
      <c r="U431" s="9">
        <f>91+221</f>
        <v>312</v>
      </c>
    </row>
    <row r="432" spans="1:21">
      <c r="A432" s="2">
        <f t="shared" si="17"/>
        <v>2010</v>
      </c>
      <c r="B432" s="2">
        <f t="shared" si="18"/>
        <v>7</v>
      </c>
      <c r="C432" s="16">
        <f t="shared" si="28"/>
        <v>24830</v>
      </c>
      <c r="D432" s="9">
        <f>6680+4917</f>
        <v>11597</v>
      </c>
      <c r="E432" s="9">
        <f>2989+7358</f>
        <v>10347</v>
      </c>
      <c r="F432" s="9">
        <f>5+494</f>
        <v>499</v>
      </c>
      <c r="G432" s="9">
        <v>0</v>
      </c>
      <c r="H432" s="2">
        <f t="shared" si="29"/>
        <v>499</v>
      </c>
      <c r="I432" s="9">
        <v>17</v>
      </c>
      <c r="J432" s="9">
        <f>368+2002</f>
        <v>2370</v>
      </c>
      <c r="N432" s="2">
        <f t="shared" si="19"/>
        <v>2010</v>
      </c>
      <c r="O432" s="2">
        <f t="shared" si="20"/>
        <v>7</v>
      </c>
      <c r="P432" s="19">
        <f t="shared" si="27"/>
        <v>14046</v>
      </c>
      <c r="Q432" s="9">
        <f>7523+4498</f>
        <v>12021</v>
      </c>
      <c r="R432" s="9">
        <f>467+1227</f>
        <v>1694</v>
      </c>
      <c r="S432" s="9">
        <v>6</v>
      </c>
      <c r="T432" s="9">
        <v>15</v>
      </c>
      <c r="U432" s="9">
        <f>91+219</f>
        <v>310</v>
      </c>
    </row>
    <row r="433" spans="1:21">
      <c r="A433" s="2">
        <f t="shared" si="17"/>
        <v>2010</v>
      </c>
      <c r="B433" s="2">
        <f t="shared" si="18"/>
        <v>8</v>
      </c>
      <c r="C433" s="16">
        <f t="shared" si="28"/>
        <v>24422</v>
      </c>
      <c r="D433" s="9">
        <f>7389+5603</f>
        <v>12992</v>
      </c>
      <c r="E433" s="9">
        <f>2615+6410</f>
        <v>9025</v>
      </c>
      <c r="F433" s="9">
        <f>4+471</f>
        <v>475</v>
      </c>
      <c r="G433" s="9">
        <v>0</v>
      </c>
      <c r="H433" s="2">
        <f t="shared" si="29"/>
        <v>475</v>
      </c>
      <c r="I433" s="9">
        <v>17</v>
      </c>
      <c r="J433" s="9">
        <f>313+1600</f>
        <v>1913</v>
      </c>
      <c r="N433" s="2">
        <f t="shared" si="19"/>
        <v>2010</v>
      </c>
      <c r="O433" s="2">
        <f t="shared" si="20"/>
        <v>8</v>
      </c>
      <c r="P433" s="19">
        <f t="shared" si="27"/>
        <v>14059</v>
      </c>
      <c r="Q433" s="9">
        <f>7532+4493</f>
        <v>12025</v>
      </c>
      <c r="R433" s="9">
        <f>470+1232</f>
        <v>1702</v>
      </c>
      <c r="S433" s="9">
        <v>6</v>
      </c>
      <c r="T433" s="9">
        <v>15</v>
      </c>
      <c r="U433" s="9">
        <f>91+220</f>
        <v>311</v>
      </c>
    </row>
    <row r="434" spans="1:21">
      <c r="A434" s="2">
        <f t="shared" si="17"/>
        <v>2010</v>
      </c>
      <c r="B434" s="2">
        <f t="shared" si="18"/>
        <v>9</v>
      </c>
      <c r="C434" s="16">
        <f t="shared" si="28"/>
        <v>24864</v>
      </c>
      <c r="D434" s="9">
        <f>6626+5007</f>
        <v>11633</v>
      </c>
      <c r="E434" s="9">
        <f>2885+7257</f>
        <v>10142</v>
      </c>
      <c r="F434" s="9">
        <f>5+546</f>
        <v>551</v>
      </c>
      <c r="G434" s="9">
        <v>0</v>
      </c>
      <c r="H434" s="2">
        <f t="shared" si="29"/>
        <v>551</v>
      </c>
      <c r="I434" s="9">
        <f>8+10</f>
        <v>18</v>
      </c>
      <c r="J434" s="9">
        <f>396+2124</f>
        <v>2520</v>
      </c>
      <c r="N434" s="2">
        <f t="shared" si="19"/>
        <v>2010</v>
      </c>
      <c r="O434" s="2">
        <f t="shared" si="20"/>
        <v>9</v>
      </c>
      <c r="P434" s="19">
        <f t="shared" si="27"/>
        <v>14043</v>
      </c>
      <c r="Q434" s="9">
        <f>7512+4491</f>
        <v>12003</v>
      </c>
      <c r="R434" s="9">
        <f>469+1235</f>
        <v>1704</v>
      </c>
      <c r="S434" s="9">
        <v>6</v>
      </c>
      <c r="T434" s="9">
        <v>15</v>
      </c>
      <c r="U434" s="9">
        <f>91+224</f>
        <v>315</v>
      </c>
    </row>
    <row r="435" spans="1:21">
      <c r="A435" s="2">
        <f t="shared" si="17"/>
        <v>2010</v>
      </c>
      <c r="B435" s="2">
        <f t="shared" si="18"/>
        <v>10</v>
      </c>
      <c r="C435" s="16">
        <f t="shared" si="28"/>
        <v>20646</v>
      </c>
      <c r="D435" s="9">
        <f>5519+4025</f>
        <v>9544</v>
      </c>
      <c r="E435" s="9">
        <f>2473+5984</f>
        <v>8457</v>
      </c>
      <c r="F435" s="9">
        <f>5+535</f>
        <v>540</v>
      </c>
      <c r="G435" s="9">
        <v>0</v>
      </c>
      <c r="H435" s="2">
        <f t="shared" si="29"/>
        <v>540</v>
      </c>
      <c r="I435" s="9">
        <v>19</v>
      </c>
      <c r="J435" s="9">
        <f>331+1755</f>
        <v>2086</v>
      </c>
      <c r="N435" s="2">
        <f t="shared" si="19"/>
        <v>2010</v>
      </c>
      <c r="O435" s="2">
        <f t="shared" si="20"/>
        <v>10</v>
      </c>
      <c r="P435" s="19">
        <f t="shared" si="27"/>
        <v>14034</v>
      </c>
      <c r="Q435" s="9">
        <f>7514+4483</f>
        <v>11997</v>
      </c>
      <c r="R435" s="9">
        <f>468+1235</f>
        <v>1703</v>
      </c>
      <c r="S435" s="9">
        <v>6</v>
      </c>
      <c r="T435" s="9">
        <v>15</v>
      </c>
      <c r="U435" s="9">
        <f>91+222</f>
        <v>313</v>
      </c>
    </row>
    <row r="436" spans="1:21">
      <c r="A436" s="2">
        <f t="shared" si="17"/>
        <v>2010</v>
      </c>
      <c r="B436" s="2">
        <f t="shared" si="18"/>
        <v>11</v>
      </c>
      <c r="C436" s="16">
        <f t="shared" si="28"/>
        <v>19244</v>
      </c>
      <c r="D436" s="9">
        <f>5237+3544</f>
        <v>8781</v>
      </c>
      <c r="E436" s="9">
        <f>2315+5563</f>
        <v>7878</v>
      </c>
      <c r="F436" s="9">
        <f>5+593</f>
        <v>598</v>
      </c>
      <c r="G436" s="9">
        <v>0</v>
      </c>
      <c r="H436" s="2">
        <f t="shared" si="29"/>
        <v>598</v>
      </c>
      <c r="I436" s="9">
        <v>18</v>
      </c>
      <c r="J436" s="9">
        <f>301+1668</f>
        <v>1969</v>
      </c>
      <c r="N436" s="2">
        <f t="shared" si="19"/>
        <v>2010</v>
      </c>
      <c r="O436" s="2">
        <f t="shared" si="20"/>
        <v>11</v>
      </c>
      <c r="P436" s="19">
        <f t="shared" si="27"/>
        <v>14054</v>
      </c>
      <c r="Q436" s="9">
        <f>7538+4483</f>
        <v>12021</v>
      </c>
      <c r="R436" s="9">
        <f>470+1229</f>
        <v>1699</v>
      </c>
      <c r="S436" s="9">
        <v>6</v>
      </c>
      <c r="T436" s="9">
        <v>15</v>
      </c>
      <c r="U436" s="9">
        <f>91+222</f>
        <v>313</v>
      </c>
    </row>
    <row r="437" spans="1:21">
      <c r="A437" s="2">
        <f t="shared" si="17"/>
        <v>2010</v>
      </c>
      <c r="B437" s="2">
        <f t="shared" si="18"/>
        <v>12</v>
      </c>
      <c r="C437" s="16">
        <f t="shared" si="28"/>
        <v>19409</v>
      </c>
      <c r="D437" s="9">
        <f>5404+3726</f>
        <v>9130</v>
      </c>
      <c r="E437" s="9">
        <f>2425+5475</f>
        <v>7900</v>
      </c>
      <c r="F437" s="9">
        <f>4+431</f>
        <v>435</v>
      </c>
      <c r="G437" s="9">
        <v>0</v>
      </c>
      <c r="H437" s="2">
        <f t="shared" si="29"/>
        <v>435</v>
      </c>
      <c r="I437" s="9">
        <v>19</v>
      </c>
      <c r="J437" s="9">
        <f>298+1627</f>
        <v>1925</v>
      </c>
      <c r="N437" s="2">
        <f t="shared" si="19"/>
        <v>2010</v>
      </c>
      <c r="O437" s="2">
        <f t="shared" si="20"/>
        <v>12</v>
      </c>
      <c r="P437" s="19">
        <f t="shared" si="27"/>
        <v>14126</v>
      </c>
      <c r="Q437" s="9">
        <f>7579+4506</f>
        <v>12085</v>
      </c>
      <c r="R437" s="9">
        <f>468+1233</f>
        <v>1701</v>
      </c>
      <c r="S437" s="9">
        <v>6</v>
      </c>
      <c r="T437" s="9">
        <v>15</v>
      </c>
      <c r="U437" s="9">
        <f>91+228</f>
        <v>319</v>
      </c>
    </row>
    <row r="438" spans="1:21">
      <c r="A438" s="2">
        <f t="shared" si="17"/>
        <v>2011</v>
      </c>
      <c r="B438" s="2">
        <f t="shared" si="18"/>
        <v>1</v>
      </c>
      <c r="C438" s="16">
        <f t="shared" si="28"/>
        <v>22299</v>
      </c>
      <c r="D438" s="9">
        <f>8281+4618</f>
        <v>12899</v>
      </c>
      <c r="E438" s="9">
        <f>2172+5032</f>
        <v>7204</v>
      </c>
      <c r="F438" s="9">
        <f>4+456</f>
        <v>460</v>
      </c>
      <c r="G438" s="9">
        <v>0</v>
      </c>
      <c r="H438" s="2">
        <f t="shared" si="29"/>
        <v>460</v>
      </c>
      <c r="I438" s="9">
        <f>8+11</f>
        <v>19</v>
      </c>
      <c r="J438" s="9">
        <f>273+1444</f>
        <v>1717</v>
      </c>
      <c r="N438" s="2">
        <f t="shared" si="19"/>
        <v>2011</v>
      </c>
      <c r="O438" s="2">
        <f t="shared" si="20"/>
        <v>1</v>
      </c>
      <c r="P438" s="19">
        <f t="shared" ref="P438" si="30">SUM(Q438:U438)</f>
        <v>14168</v>
      </c>
      <c r="Q438" s="9">
        <f>7632+4512</f>
        <v>12144</v>
      </c>
      <c r="R438" s="9">
        <f>467+1224</f>
        <v>1691</v>
      </c>
      <c r="S438" s="9">
        <f>6</f>
        <v>6</v>
      </c>
      <c r="T438" s="9">
        <v>15</v>
      </c>
      <c r="U438" s="9">
        <f>91+221</f>
        <v>312</v>
      </c>
    </row>
    <row r="439" spans="1:21">
      <c r="A439" s="2">
        <f t="shared" si="17"/>
        <v>2011</v>
      </c>
      <c r="B439" s="2">
        <f t="shared" si="18"/>
        <v>2</v>
      </c>
      <c r="C439" s="16">
        <f t="shared" si="28"/>
        <v>18897</v>
      </c>
      <c r="D439" s="9">
        <f>6213+3575</f>
        <v>9788</v>
      </c>
      <c r="E439" s="9">
        <f>2075+4772</f>
        <v>6847</v>
      </c>
      <c r="F439" s="9">
        <f>4+530</f>
        <v>534</v>
      </c>
      <c r="G439" s="9">
        <v>0</v>
      </c>
      <c r="H439" s="2">
        <f t="shared" si="29"/>
        <v>534</v>
      </c>
      <c r="I439" s="9">
        <v>17</v>
      </c>
      <c r="J439" s="9">
        <f>276+1435</f>
        <v>1711</v>
      </c>
      <c r="N439" s="2">
        <f t="shared" si="19"/>
        <v>2011</v>
      </c>
      <c r="O439" s="2">
        <f t="shared" si="20"/>
        <v>2</v>
      </c>
      <c r="P439" s="19">
        <f t="shared" ref="P439" si="31">SUM(Q439:U439)</f>
        <v>14208</v>
      </c>
      <c r="Q439" s="9">
        <f>7664+4515</f>
        <v>12179</v>
      </c>
      <c r="R439" s="9">
        <f>471+1226</f>
        <v>1697</v>
      </c>
      <c r="S439" s="9">
        <v>6</v>
      </c>
      <c r="T439" s="9">
        <v>15</v>
      </c>
      <c r="U439" s="9">
        <f>91+220</f>
        <v>311</v>
      </c>
    </row>
    <row r="440" spans="1:21">
      <c r="A440" s="2">
        <f t="shared" si="17"/>
        <v>2011</v>
      </c>
      <c r="B440" s="2">
        <f t="shared" si="18"/>
        <v>3</v>
      </c>
      <c r="C440" s="16">
        <f t="shared" si="28"/>
        <v>17486</v>
      </c>
      <c r="D440" s="9">
        <f>5070+2856</f>
        <v>7926</v>
      </c>
      <c r="E440" s="9">
        <f>2164+5067</f>
        <v>7231</v>
      </c>
      <c r="F440" s="9">
        <f>5+521</f>
        <v>526</v>
      </c>
      <c r="G440" s="9">
        <v>0</v>
      </c>
      <c r="H440" s="2">
        <f t="shared" si="29"/>
        <v>526</v>
      </c>
      <c r="I440" s="9">
        <f>8+9</f>
        <v>17</v>
      </c>
      <c r="J440" s="9">
        <f>279+1507</f>
        <v>1786</v>
      </c>
      <c r="N440" s="2">
        <f t="shared" si="19"/>
        <v>2011</v>
      </c>
      <c r="O440" s="2">
        <f t="shared" si="20"/>
        <v>3</v>
      </c>
      <c r="P440" s="19">
        <f t="shared" ref="P440:P450" si="32">SUM(Q440:U440)</f>
        <v>14231</v>
      </c>
      <c r="Q440" s="9">
        <f>7664+4535</f>
        <v>12199</v>
      </c>
      <c r="R440" s="9">
        <f>471+1227</f>
        <v>1698</v>
      </c>
      <c r="S440" s="9">
        <f>4+3</f>
        <v>7</v>
      </c>
      <c r="T440" s="9">
        <f>11+4</f>
        <v>15</v>
      </c>
      <c r="U440" s="9">
        <f>91+221</f>
        <v>312</v>
      </c>
    </row>
    <row r="441" spans="1:21">
      <c r="A441" s="2">
        <f t="shared" si="17"/>
        <v>2011</v>
      </c>
      <c r="B441" s="2">
        <f t="shared" si="18"/>
        <v>4</v>
      </c>
      <c r="C441" s="16">
        <f t="shared" si="28"/>
        <v>18345</v>
      </c>
      <c r="D441" s="9">
        <f>5068+3284</f>
        <v>8352</v>
      </c>
      <c r="E441" s="9">
        <f>2338+5411</f>
        <v>7749</v>
      </c>
      <c r="F441" s="9">
        <f>5+471</f>
        <v>476</v>
      </c>
      <c r="G441" s="9">
        <v>0</v>
      </c>
      <c r="H441" s="2">
        <f t="shared" si="29"/>
        <v>476</v>
      </c>
      <c r="I441" s="9">
        <f>7+10</f>
        <v>17</v>
      </c>
      <c r="J441" s="9">
        <f>268+1483</f>
        <v>1751</v>
      </c>
      <c r="N441" s="2">
        <f t="shared" si="19"/>
        <v>2011</v>
      </c>
      <c r="O441" s="2">
        <f t="shared" si="20"/>
        <v>4</v>
      </c>
      <c r="P441" s="19">
        <f t="shared" si="32"/>
        <v>14185</v>
      </c>
      <c r="Q441" s="9">
        <f>7596+4545</f>
        <v>12141</v>
      </c>
      <c r="R441" s="9">
        <f>481+1230</f>
        <v>1711</v>
      </c>
      <c r="S441" s="9">
        <f>4+3</f>
        <v>7</v>
      </c>
      <c r="T441" s="9">
        <f>11+4</f>
        <v>15</v>
      </c>
      <c r="U441" s="9">
        <f>91+220</f>
        <v>311</v>
      </c>
    </row>
    <row r="442" spans="1:21">
      <c r="A442" s="2">
        <f t="shared" si="17"/>
        <v>2011</v>
      </c>
      <c r="B442" s="2">
        <f t="shared" si="18"/>
        <v>5</v>
      </c>
      <c r="C442" s="16">
        <f t="shared" si="28"/>
        <v>22106</v>
      </c>
      <c r="D442" s="9">
        <f>6230+4427</f>
        <v>10657</v>
      </c>
      <c r="E442" s="9">
        <f>2600+6223</f>
        <v>8823</v>
      </c>
      <c r="F442" s="9">
        <f>6+609</f>
        <v>615</v>
      </c>
      <c r="G442" s="9">
        <v>0</v>
      </c>
      <c r="H442" s="2">
        <f t="shared" si="29"/>
        <v>615</v>
      </c>
      <c r="I442" s="9">
        <f>8+8</f>
        <v>16</v>
      </c>
      <c r="J442" s="9">
        <f>332+1663</f>
        <v>1995</v>
      </c>
      <c r="N442" s="2">
        <f t="shared" si="19"/>
        <v>2011</v>
      </c>
      <c r="O442" s="2">
        <f t="shared" si="20"/>
        <v>5</v>
      </c>
      <c r="P442" s="19">
        <f t="shared" si="32"/>
        <v>14126</v>
      </c>
      <c r="Q442" s="9">
        <f>7546+4550</f>
        <v>12096</v>
      </c>
      <c r="R442" s="9">
        <f>477+1221</f>
        <v>1698</v>
      </c>
      <c r="S442" s="9">
        <v>7</v>
      </c>
      <c r="T442" s="9">
        <v>15</v>
      </c>
      <c r="U442" s="9">
        <f>91+219</f>
        <v>310</v>
      </c>
    </row>
    <row r="443" spans="1:21">
      <c r="A443" s="2">
        <f t="shared" si="17"/>
        <v>2011</v>
      </c>
      <c r="B443" s="2">
        <f t="shared" si="18"/>
        <v>6</v>
      </c>
      <c r="C443" s="16">
        <f t="shared" si="28"/>
        <v>21791</v>
      </c>
      <c r="D443" s="9">
        <f>5702+4463</f>
        <v>10165</v>
      </c>
      <c r="E443" s="9">
        <f>2618+6338</f>
        <v>8956</v>
      </c>
      <c r="F443" s="9">
        <f>5+559</f>
        <v>564</v>
      </c>
      <c r="G443" s="9">
        <v>0</v>
      </c>
      <c r="H443" s="2">
        <f t="shared" si="29"/>
        <v>564</v>
      </c>
      <c r="I443" s="9">
        <v>16</v>
      </c>
      <c r="J443" s="9">
        <f>312+1778</f>
        <v>2090</v>
      </c>
      <c r="N443" s="2">
        <f t="shared" si="19"/>
        <v>2011</v>
      </c>
      <c r="O443" s="2">
        <f t="shared" si="20"/>
        <v>6</v>
      </c>
      <c r="P443" s="19">
        <f t="shared" si="32"/>
        <v>14065</v>
      </c>
      <c r="Q443" s="9">
        <f>7537+4506</f>
        <v>12043</v>
      </c>
      <c r="R443" s="9">
        <f>472+1219</f>
        <v>1691</v>
      </c>
      <c r="S443" s="9">
        <v>7</v>
      </c>
      <c r="T443" s="9">
        <v>15</v>
      </c>
      <c r="U443" s="9">
        <f>92+217</f>
        <v>309</v>
      </c>
    </row>
    <row r="444" spans="1:21">
      <c r="A444" s="2">
        <f t="shared" si="17"/>
        <v>2011</v>
      </c>
      <c r="B444" s="2">
        <f t="shared" si="18"/>
        <v>7</v>
      </c>
      <c r="C444" s="16">
        <f t="shared" si="28"/>
        <v>23038</v>
      </c>
      <c r="D444" s="9">
        <f>6424+4813</f>
        <v>11237</v>
      </c>
      <c r="E444" s="9">
        <f>2607+6628</f>
        <v>9235</v>
      </c>
      <c r="F444" s="9">
        <f>6+594</f>
        <v>600</v>
      </c>
      <c r="G444" s="9">
        <v>0</v>
      </c>
      <c r="H444" s="2">
        <f t="shared" si="29"/>
        <v>600</v>
      </c>
      <c r="I444" s="9">
        <v>16</v>
      </c>
      <c r="J444" s="9">
        <f>293+1657</f>
        <v>1950</v>
      </c>
      <c r="N444" s="2">
        <f t="shared" si="19"/>
        <v>2011</v>
      </c>
      <c r="O444" s="2">
        <f t="shared" si="20"/>
        <v>7</v>
      </c>
      <c r="P444" s="19">
        <f t="shared" si="32"/>
        <v>14007</v>
      </c>
      <c r="Q444" s="9">
        <f>7518+4467</f>
        <v>11985</v>
      </c>
      <c r="R444" s="9">
        <f>473+1220</f>
        <v>1693</v>
      </c>
      <c r="S444" s="9">
        <v>6</v>
      </c>
      <c r="T444" s="9">
        <v>15</v>
      </c>
      <c r="U444" s="9">
        <f>91+217</f>
        <v>308</v>
      </c>
    </row>
    <row r="445" spans="1:21">
      <c r="A445" s="2">
        <f t="shared" si="17"/>
        <v>2011</v>
      </c>
      <c r="B445" s="2">
        <f t="shared" si="18"/>
        <v>8</v>
      </c>
      <c r="C445" s="16">
        <f t="shared" si="28"/>
        <v>24413</v>
      </c>
      <c r="D445" s="9">
        <f>6712+5264</f>
        <v>11976</v>
      </c>
      <c r="E445" s="9">
        <f>2810+6987</f>
        <v>9797</v>
      </c>
      <c r="F445" s="9">
        <f>7+745</f>
        <v>752</v>
      </c>
      <c r="G445" s="9">
        <v>0</v>
      </c>
      <c r="H445" s="2">
        <f t="shared" si="29"/>
        <v>752</v>
      </c>
      <c r="I445" s="9">
        <v>18</v>
      </c>
      <c r="J445" s="9">
        <f>327+1543</f>
        <v>1870</v>
      </c>
      <c r="N445" s="2">
        <f t="shared" si="19"/>
        <v>2011</v>
      </c>
      <c r="O445" s="2">
        <f t="shared" si="20"/>
        <v>8</v>
      </c>
      <c r="P445" s="19">
        <f t="shared" si="32"/>
        <v>13955</v>
      </c>
      <c r="Q445" s="9">
        <f>7494+4449</f>
        <v>11943</v>
      </c>
      <c r="R445" s="9">
        <f>468+1214</f>
        <v>1682</v>
      </c>
      <c r="S445" s="9">
        <v>6</v>
      </c>
      <c r="T445" s="9">
        <v>15</v>
      </c>
      <c r="U445" s="9">
        <f>91+218</f>
        <v>309</v>
      </c>
    </row>
    <row r="446" spans="1:21">
      <c r="A446" s="2">
        <f t="shared" si="17"/>
        <v>2011</v>
      </c>
      <c r="B446" s="2">
        <f t="shared" si="18"/>
        <v>9</v>
      </c>
      <c r="C446" s="16">
        <f t="shared" si="28"/>
        <v>23451</v>
      </c>
      <c r="D446" s="9">
        <f>6261+4757</f>
        <v>11018</v>
      </c>
      <c r="E446" s="9">
        <f>2816+6730</f>
        <v>9546</v>
      </c>
      <c r="F446" s="9">
        <f>5+726</f>
        <v>731</v>
      </c>
      <c r="G446" s="9">
        <v>0</v>
      </c>
      <c r="H446" s="2">
        <f t="shared" si="29"/>
        <v>731</v>
      </c>
      <c r="I446" s="9">
        <f>8+10</f>
        <v>18</v>
      </c>
      <c r="J446" s="9">
        <f>336+1802</f>
        <v>2138</v>
      </c>
      <c r="N446" s="2">
        <f t="shared" si="19"/>
        <v>2011</v>
      </c>
      <c r="O446" s="2">
        <f t="shared" si="20"/>
        <v>9</v>
      </c>
      <c r="P446" s="19">
        <f t="shared" si="32"/>
        <v>13963</v>
      </c>
      <c r="Q446" s="9">
        <f>7489+4455</f>
        <v>11944</v>
      </c>
      <c r="R446" s="9">
        <f>471+1217</f>
        <v>1688</v>
      </c>
      <c r="S446" s="9">
        <v>6</v>
      </c>
      <c r="T446" s="9">
        <v>15</v>
      </c>
      <c r="U446" s="9">
        <f>91+219</f>
        <v>310</v>
      </c>
    </row>
    <row r="447" spans="1:21">
      <c r="A447" s="2">
        <f t="shared" ref="A447:A473" si="33">A435+1</f>
        <v>2011</v>
      </c>
      <c r="B447" s="2">
        <f t="shared" ref="B447:B473" si="34">B435</f>
        <v>10</v>
      </c>
      <c r="C447" s="16">
        <f t="shared" si="28"/>
        <v>21027</v>
      </c>
      <c r="D447" s="9">
        <f>5849+4223</f>
        <v>10072</v>
      </c>
      <c r="E447" s="9">
        <f>2433+5943</f>
        <v>8376</v>
      </c>
      <c r="F447" s="9">
        <f>5+659</f>
        <v>664</v>
      </c>
      <c r="G447" s="9">
        <v>0</v>
      </c>
      <c r="H447" s="2">
        <f t="shared" si="29"/>
        <v>664</v>
      </c>
      <c r="I447" s="9">
        <f>8+9</f>
        <v>17</v>
      </c>
      <c r="J447" s="9">
        <f>295+1603</f>
        <v>1898</v>
      </c>
      <c r="N447" s="2">
        <f t="shared" si="19"/>
        <v>2011</v>
      </c>
      <c r="O447" s="2">
        <f t="shared" si="20"/>
        <v>10</v>
      </c>
      <c r="P447" s="19">
        <f t="shared" si="32"/>
        <v>13972</v>
      </c>
      <c r="Q447" s="9">
        <f>7484+4482</f>
        <v>11966</v>
      </c>
      <c r="R447" s="9">
        <f>468+1207</f>
        <v>1675</v>
      </c>
      <c r="S447" s="9">
        <v>7</v>
      </c>
      <c r="T447" s="9">
        <v>15</v>
      </c>
      <c r="U447" s="9">
        <f>91+218</f>
        <v>309</v>
      </c>
    </row>
    <row r="448" spans="1:21">
      <c r="A448" s="2">
        <f t="shared" si="33"/>
        <v>2011</v>
      </c>
      <c r="B448" s="2">
        <f t="shared" si="34"/>
        <v>11</v>
      </c>
      <c r="C448" s="16">
        <f t="shared" si="28"/>
        <v>17051</v>
      </c>
      <c r="D448" s="9">
        <f>4095+3020</f>
        <v>7115</v>
      </c>
      <c r="E448" s="9">
        <f>2259+5222</f>
        <v>7481</v>
      </c>
      <c r="F448" s="9">
        <f>5+710</f>
        <v>715</v>
      </c>
      <c r="G448" s="9">
        <v>0</v>
      </c>
      <c r="H448" s="2">
        <f t="shared" si="29"/>
        <v>715</v>
      </c>
      <c r="I448" s="9">
        <f>7+12</f>
        <v>19</v>
      </c>
      <c r="J448" s="9">
        <f>256+1465</f>
        <v>1721</v>
      </c>
      <c r="N448" s="2">
        <f t="shared" si="19"/>
        <v>2011</v>
      </c>
      <c r="O448" s="2">
        <f t="shared" si="20"/>
        <v>11</v>
      </c>
      <c r="P448" s="19">
        <f t="shared" si="32"/>
        <v>14003</v>
      </c>
      <c r="Q448" s="9">
        <f>7509+4488</f>
        <v>11997</v>
      </c>
      <c r="R448" s="9">
        <f>469+1207</f>
        <v>1676</v>
      </c>
      <c r="S448" s="9">
        <v>6</v>
      </c>
      <c r="T448" s="9">
        <v>15</v>
      </c>
      <c r="U448" s="9">
        <f>91+218</f>
        <v>309</v>
      </c>
    </row>
    <row r="449" spans="1:21">
      <c r="A449" s="2">
        <f t="shared" si="33"/>
        <v>2011</v>
      </c>
      <c r="B449" s="2">
        <f t="shared" si="34"/>
        <v>12</v>
      </c>
      <c r="C449" s="16">
        <f t="shared" si="28"/>
        <v>17747</v>
      </c>
      <c r="D449" s="9">
        <f>7567</f>
        <v>7567</v>
      </c>
      <c r="E449" s="9">
        <v>7687</v>
      </c>
      <c r="F449" s="9">
        <v>713</v>
      </c>
      <c r="G449" s="9">
        <v>0</v>
      </c>
      <c r="H449" s="2">
        <f t="shared" si="29"/>
        <v>713</v>
      </c>
      <c r="I449" s="9">
        <v>19</v>
      </c>
      <c r="J449" s="9">
        <v>1761</v>
      </c>
      <c r="N449" s="2">
        <f t="shared" si="19"/>
        <v>2011</v>
      </c>
      <c r="O449" s="2">
        <f t="shared" si="20"/>
        <v>12</v>
      </c>
      <c r="P449" s="19">
        <f t="shared" si="32"/>
        <v>14081</v>
      </c>
      <c r="Q449" s="9">
        <v>12071</v>
      </c>
      <c r="R449" s="9">
        <v>1679</v>
      </c>
      <c r="S449" s="9">
        <v>6</v>
      </c>
      <c r="T449" s="9">
        <v>15</v>
      </c>
      <c r="U449" s="9">
        <v>310</v>
      </c>
    </row>
    <row r="450" spans="1:21">
      <c r="A450" s="2">
        <f t="shared" si="33"/>
        <v>2012</v>
      </c>
      <c r="B450" s="2">
        <f t="shared" si="34"/>
        <v>1</v>
      </c>
      <c r="C450" s="16">
        <f t="shared" si="28"/>
        <v>19339</v>
      </c>
      <c r="D450" s="9">
        <f>5997+3680</f>
        <v>9677</v>
      </c>
      <c r="E450" s="9">
        <f>2344+5233</f>
        <v>7577</v>
      </c>
      <c r="F450" s="9">
        <f>5+550</f>
        <v>555</v>
      </c>
      <c r="G450" s="9">
        <v>0</v>
      </c>
      <c r="H450" s="2">
        <f t="shared" si="29"/>
        <v>555</v>
      </c>
      <c r="I450" s="9">
        <v>17</v>
      </c>
      <c r="J450" s="9">
        <f>256+1257</f>
        <v>1513</v>
      </c>
      <c r="N450" s="2">
        <f t="shared" si="19"/>
        <v>2012</v>
      </c>
      <c r="O450" s="2">
        <f t="shared" si="20"/>
        <v>1</v>
      </c>
      <c r="P450" s="19">
        <f t="shared" si="32"/>
        <v>14109</v>
      </c>
      <c r="Q450" s="9">
        <f>7604+4490</f>
        <v>12094</v>
      </c>
      <c r="R450" s="9">
        <f>471+1210</f>
        <v>1681</v>
      </c>
      <c r="S450" s="9">
        <v>6</v>
      </c>
      <c r="T450" s="9">
        <v>15</v>
      </c>
      <c r="U450" s="9">
        <v>313</v>
      </c>
    </row>
    <row r="451" spans="1:21">
      <c r="A451" s="2">
        <f t="shared" si="33"/>
        <v>2012</v>
      </c>
      <c r="B451" s="2">
        <f t="shared" si="34"/>
        <v>2</v>
      </c>
      <c r="C451" s="16">
        <f t="shared" si="28"/>
        <v>16748</v>
      </c>
      <c r="D451" s="9">
        <f>4917+2926</f>
        <v>7843</v>
      </c>
      <c r="E451" s="9">
        <f>2206+4868</f>
        <v>7074</v>
      </c>
      <c r="F451" s="9">
        <f>4+17</f>
        <v>21</v>
      </c>
      <c r="G451" s="9">
        <v>0</v>
      </c>
      <c r="H451" s="2">
        <f t="shared" si="29"/>
        <v>21</v>
      </c>
      <c r="I451" s="9">
        <f>8+8</f>
        <v>16</v>
      </c>
      <c r="J451" s="9">
        <f>260+1534</f>
        <v>1794</v>
      </c>
      <c r="N451" s="2">
        <f t="shared" si="19"/>
        <v>2012</v>
      </c>
      <c r="O451" s="2">
        <f t="shared" si="20"/>
        <v>2</v>
      </c>
      <c r="P451" s="19">
        <f t="shared" ref="P451:P461" si="35">SUM(Q451:U451)</f>
        <v>14139</v>
      </c>
      <c r="Q451" s="9">
        <f>7621+4502</f>
        <v>12123</v>
      </c>
      <c r="R451" s="9">
        <f>469+1210</f>
        <v>1679</v>
      </c>
      <c r="S451" s="9">
        <v>7</v>
      </c>
      <c r="T451" s="9">
        <v>15</v>
      </c>
      <c r="U451" s="9">
        <f>92+223</f>
        <v>315</v>
      </c>
    </row>
    <row r="452" spans="1:21">
      <c r="A452" s="2">
        <f t="shared" si="33"/>
        <v>2012</v>
      </c>
      <c r="B452" s="2">
        <f t="shared" si="34"/>
        <v>3</v>
      </c>
      <c r="C452" s="16">
        <f t="shared" si="28"/>
        <v>18221</v>
      </c>
      <c r="D452" s="9">
        <f>5296+3029</f>
        <v>8325</v>
      </c>
      <c r="E452" s="9">
        <f>2211+5189</f>
        <v>7400</v>
      </c>
      <c r="F452" s="9">
        <f>5+896</f>
        <v>901</v>
      </c>
      <c r="G452" s="9">
        <v>0</v>
      </c>
      <c r="H452" s="2">
        <f t="shared" si="29"/>
        <v>901</v>
      </c>
      <c r="I452" s="9">
        <v>16</v>
      </c>
      <c r="J452" s="9">
        <f>277+1302</f>
        <v>1579</v>
      </c>
      <c r="N452" s="2">
        <f t="shared" si="19"/>
        <v>2012</v>
      </c>
      <c r="O452" s="2">
        <f t="shared" si="20"/>
        <v>3</v>
      </c>
      <c r="P452" s="19">
        <f t="shared" si="35"/>
        <v>14184</v>
      </c>
      <c r="Q452" s="9">
        <f>7630+4541</f>
        <v>12171</v>
      </c>
      <c r="R452" s="9">
        <f>465+1215</f>
        <v>1680</v>
      </c>
      <c r="S452" s="9">
        <v>5</v>
      </c>
      <c r="T452" s="9">
        <v>15</v>
      </c>
      <c r="U452" s="9">
        <f>92+221</f>
        <v>313</v>
      </c>
    </row>
    <row r="453" spans="1:21">
      <c r="A453" s="2">
        <f t="shared" si="33"/>
        <v>2012</v>
      </c>
      <c r="B453" s="2">
        <f t="shared" si="34"/>
        <v>4</v>
      </c>
      <c r="C453" s="16">
        <f t="shared" si="28"/>
        <v>19427</v>
      </c>
      <c r="D453" s="9">
        <f>5460+3610</f>
        <v>9070</v>
      </c>
      <c r="E453" s="9">
        <f>2397+5456</f>
        <v>7853</v>
      </c>
      <c r="F453" s="9">
        <f>4+562</f>
        <v>566</v>
      </c>
      <c r="G453" s="9">
        <v>0</v>
      </c>
      <c r="H453" s="2">
        <f t="shared" si="29"/>
        <v>566</v>
      </c>
      <c r="I453" s="9">
        <f>15</f>
        <v>15</v>
      </c>
      <c r="J453" s="9">
        <f>273+1650</f>
        <v>1923</v>
      </c>
      <c r="N453" s="2">
        <f t="shared" si="19"/>
        <v>2012</v>
      </c>
      <c r="O453" s="2">
        <f t="shared" si="20"/>
        <v>4</v>
      </c>
      <c r="P453" s="19">
        <f t="shared" si="35"/>
        <v>14105</v>
      </c>
      <c r="Q453" s="9">
        <f>7549+4547</f>
        <v>12096</v>
      </c>
      <c r="R453" s="9">
        <f>464+1211</f>
        <v>1675</v>
      </c>
      <c r="S453" s="9">
        <v>6</v>
      </c>
      <c r="T453" s="9">
        <v>15</v>
      </c>
      <c r="U453" s="9">
        <f>92+221</f>
        <v>313</v>
      </c>
    </row>
    <row r="454" spans="1:21">
      <c r="A454" s="2">
        <f t="shared" si="33"/>
        <v>2012</v>
      </c>
      <c r="B454" s="2">
        <f t="shared" si="34"/>
        <v>5</v>
      </c>
      <c r="C454" s="16">
        <f t="shared" si="28"/>
        <v>18809</v>
      </c>
      <c r="D454" s="9">
        <f>4573+3452</f>
        <v>8025</v>
      </c>
      <c r="E454" s="9">
        <f>2434+5825</f>
        <v>8259</v>
      </c>
      <c r="F454" s="9">
        <f>5+583</f>
        <v>588</v>
      </c>
      <c r="G454" s="9">
        <v>0</v>
      </c>
      <c r="H454" s="2">
        <f t="shared" si="29"/>
        <v>588</v>
      </c>
      <c r="I454" s="9">
        <f>7+8</f>
        <v>15</v>
      </c>
      <c r="J454" s="9">
        <f>297+1625</f>
        <v>1922</v>
      </c>
      <c r="N454" s="2">
        <f t="shared" si="19"/>
        <v>2012</v>
      </c>
      <c r="O454" s="2">
        <f t="shared" si="20"/>
        <v>5</v>
      </c>
      <c r="P454" s="19">
        <f t="shared" si="35"/>
        <v>14048</v>
      </c>
      <c r="Q454" s="9">
        <f>7502+4536</f>
        <v>12038</v>
      </c>
      <c r="R454" s="9">
        <f>461+1214</f>
        <v>1675</v>
      </c>
      <c r="S454" s="9">
        <v>6</v>
      </c>
      <c r="T454" s="9">
        <v>15</v>
      </c>
      <c r="U454" s="9">
        <f>93+221</f>
        <v>314</v>
      </c>
    </row>
    <row r="455" spans="1:21">
      <c r="A455" s="2">
        <f t="shared" si="33"/>
        <v>2012</v>
      </c>
      <c r="B455" s="2">
        <f t="shared" si="34"/>
        <v>6</v>
      </c>
      <c r="C455" s="16">
        <f t="shared" si="28"/>
        <v>21239</v>
      </c>
      <c r="D455" s="9">
        <v>9935</v>
      </c>
      <c r="E455" s="9">
        <v>8746</v>
      </c>
      <c r="F455" s="9">
        <v>552</v>
      </c>
      <c r="G455" s="9">
        <v>0</v>
      </c>
      <c r="H455" s="2">
        <f t="shared" si="29"/>
        <v>552</v>
      </c>
      <c r="I455" s="9">
        <v>15</v>
      </c>
      <c r="J455" s="9">
        <v>1991</v>
      </c>
      <c r="N455" s="2">
        <f t="shared" si="19"/>
        <v>2012</v>
      </c>
      <c r="O455" s="2">
        <f t="shared" si="20"/>
        <v>6</v>
      </c>
      <c r="P455" s="19">
        <f t="shared" si="35"/>
        <v>14022</v>
      </c>
      <c r="Q455" s="9">
        <v>12018</v>
      </c>
      <c r="R455" s="9">
        <v>1670</v>
      </c>
      <c r="S455" s="9">
        <v>6</v>
      </c>
      <c r="T455" s="9">
        <v>15</v>
      </c>
      <c r="U455" s="9">
        <v>313</v>
      </c>
    </row>
    <row r="456" spans="1:21">
      <c r="A456" s="2">
        <f t="shared" si="33"/>
        <v>2012</v>
      </c>
      <c r="B456" s="2">
        <f t="shared" si="34"/>
        <v>7</v>
      </c>
      <c r="C456" s="16">
        <f t="shared" si="28"/>
        <v>23052</v>
      </c>
      <c r="D456" s="9">
        <v>11161</v>
      </c>
      <c r="E456" s="9">
        <v>9470</v>
      </c>
      <c r="F456" s="9">
        <v>502</v>
      </c>
      <c r="G456" s="9">
        <v>0</v>
      </c>
      <c r="H456" s="2">
        <f t="shared" si="29"/>
        <v>502</v>
      </c>
      <c r="I456" s="9">
        <v>15</v>
      </c>
      <c r="J456" s="9">
        <v>1904</v>
      </c>
      <c r="N456" s="2">
        <f t="shared" si="19"/>
        <v>2012</v>
      </c>
      <c r="O456" s="2">
        <f t="shared" si="20"/>
        <v>7</v>
      </c>
      <c r="P456" s="19">
        <f t="shared" si="35"/>
        <v>13997</v>
      </c>
      <c r="Q456" s="9">
        <v>11997</v>
      </c>
      <c r="R456" s="9">
        <v>1666</v>
      </c>
      <c r="S456" s="9">
        <v>6</v>
      </c>
      <c r="T456" s="9">
        <v>15</v>
      </c>
      <c r="U456" s="9">
        <v>313</v>
      </c>
    </row>
    <row r="457" spans="1:21">
      <c r="A457" s="2">
        <f t="shared" si="33"/>
        <v>2012</v>
      </c>
      <c r="B457" s="2">
        <f t="shared" si="34"/>
        <v>8</v>
      </c>
      <c r="C457" s="16">
        <f t="shared" si="28"/>
        <v>22037</v>
      </c>
      <c r="D457" s="9">
        <v>11165</v>
      </c>
      <c r="E457" s="9">
        <v>8486</v>
      </c>
      <c r="F457" s="9">
        <v>586</v>
      </c>
      <c r="G457" s="9">
        <v>0</v>
      </c>
      <c r="H457" s="2">
        <f t="shared" ref="H457:H460" si="36">F457-G457</f>
        <v>586</v>
      </c>
      <c r="I457" s="9">
        <v>14</v>
      </c>
      <c r="J457" s="9">
        <v>1786</v>
      </c>
      <c r="N457" s="2">
        <f t="shared" si="19"/>
        <v>2012</v>
      </c>
      <c r="O457" s="2">
        <f t="shared" si="20"/>
        <v>8</v>
      </c>
      <c r="P457" s="19">
        <f t="shared" si="35"/>
        <v>14008</v>
      </c>
      <c r="Q457" s="9">
        <v>11994</v>
      </c>
      <c r="R457" s="9">
        <v>1677</v>
      </c>
      <c r="S457" s="9">
        <v>6</v>
      </c>
      <c r="T457" s="9">
        <v>15</v>
      </c>
      <c r="U457" s="9">
        <v>316</v>
      </c>
    </row>
    <row r="458" spans="1:21">
      <c r="A458" s="2">
        <f t="shared" si="33"/>
        <v>2012</v>
      </c>
      <c r="B458" s="2">
        <f t="shared" si="34"/>
        <v>9</v>
      </c>
      <c r="C458" s="16">
        <f t="shared" si="28"/>
        <v>22669</v>
      </c>
      <c r="D458" s="9">
        <v>10902</v>
      </c>
      <c r="E458" s="9">
        <v>9065</v>
      </c>
      <c r="F458" s="9">
        <v>584</v>
      </c>
      <c r="G458" s="9">
        <v>0</v>
      </c>
      <c r="H458" s="2">
        <f t="shared" si="36"/>
        <v>584</v>
      </c>
      <c r="I458" s="9">
        <v>16</v>
      </c>
      <c r="J458" s="9">
        <v>2102</v>
      </c>
      <c r="N458" s="2">
        <f t="shared" ref="N458:N473" si="37">N446+1</f>
        <v>2012</v>
      </c>
      <c r="O458" s="2">
        <f t="shared" ref="O458:O473" si="38">O446</f>
        <v>9</v>
      </c>
      <c r="P458" s="19">
        <f t="shared" si="35"/>
        <v>13990</v>
      </c>
      <c r="Q458" s="9">
        <v>11975</v>
      </c>
      <c r="R458" s="9">
        <v>1681</v>
      </c>
      <c r="S458" s="9">
        <v>6</v>
      </c>
      <c r="T458" s="9">
        <v>15</v>
      </c>
      <c r="U458" s="9">
        <v>313</v>
      </c>
    </row>
    <row r="459" spans="1:21">
      <c r="A459" s="2">
        <f t="shared" si="33"/>
        <v>2012</v>
      </c>
      <c r="B459" s="2">
        <f t="shared" si="34"/>
        <v>10</v>
      </c>
      <c r="C459" s="16">
        <f t="shared" si="28"/>
        <v>21118</v>
      </c>
      <c r="D459" s="9">
        <v>9858</v>
      </c>
      <c r="E459" s="9">
        <v>8647</v>
      </c>
      <c r="F459" s="9">
        <v>555</v>
      </c>
      <c r="G459" s="9">
        <v>0</v>
      </c>
      <c r="H459" s="2">
        <f t="shared" si="36"/>
        <v>555</v>
      </c>
      <c r="I459" s="9">
        <v>15</v>
      </c>
      <c r="J459" s="9">
        <v>2043</v>
      </c>
      <c r="N459" s="2">
        <f t="shared" si="37"/>
        <v>2012</v>
      </c>
      <c r="O459" s="2">
        <f t="shared" si="38"/>
        <v>10</v>
      </c>
      <c r="P459" s="19">
        <f t="shared" si="35"/>
        <v>14005</v>
      </c>
      <c r="Q459" s="9">
        <v>11979</v>
      </c>
      <c r="R459" s="9">
        <v>1692</v>
      </c>
      <c r="S459" s="9">
        <v>6</v>
      </c>
      <c r="T459" s="9">
        <v>15</v>
      </c>
      <c r="U459" s="9">
        <v>313</v>
      </c>
    </row>
    <row r="460" spans="1:21">
      <c r="A460" s="2">
        <f t="shared" si="33"/>
        <v>2012</v>
      </c>
      <c r="B460" s="2">
        <f t="shared" si="34"/>
        <v>11</v>
      </c>
      <c r="C460" s="16">
        <f t="shared" si="28"/>
        <v>17272</v>
      </c>
      <c r="D460" s="9">
        <f>4381+3036</f>
        <v>7417</v>
      </c>
      <c r="E460" s="9">
        <f>2565+5079</f>
        <v>7644</v>
      </c>
      <c r="F460" s="9">
        <v>526</v>
      </c>
      <c r="G460" s="9">
        <v>0</v>
      </c>
      <c r="H460" s="2">
        <f t="shared" si="36"/>
        <v>526</v>
      </c>
      <c r="I460" s="9">
        <v>15</v>
      </c>
      <c r="J460" s="9">
        <f>257+1413</f>
        <v>1670</v>
      </c>
      <c r="N460" s="2">
        <f t="shared" si="37"/>
        <v>2012</v>
      </c>
      <c r="O460" s="2">
        <f t="shared" si="38"/>
        <v>11</v>
      </c>
      <c r="P460" s="19">
        <f t="shared" si="35"/>
        <v>13989</v>
      </c>
      <c r="Q460" s="9">
        <f>7485+4485</f>
        <v>11970</v>
      </c>
      <c r="R460" s="9">
        <f>459+1227</f>
        <v>1686</v>
      </c>
      <c r="S460" s="9">
        <v>6</v>
      </c>
      <c r="T460" s="9">
        <v>15</v>
      </c>
      <c r="U460" s="9">
        <f>94+218</f>
        <v>312</v>
      </c>
    </row>
    <row r="461" spans="1:21">
      <c r="A461" s="2">
        <f t="shared" si="33"/>
        <v>2012</v>
      </c>
      <c r="B461" s="2">
        <f t="shared" si="34"/>
        <v>12</v>
      </c>
      <c r="C461" s="16">
        <f t="shared" si="28"/>
        <v>16381</v>
      </c>
      <c r="D461" s="9">
        <v>7173</v>
      </c>
      <c r="E461" s="9">
        <v>7084</v>
      </c>
      <c r="F461" s="9">
        <v>409</v>
      </c>
      <c r="G461" s="9">
        <v>0</v>
      </c>
      <c r="H461" s="2">
        <f t="shared" ref="H461" si="39">F461-G461</f>
        <v>409</v>
      </c>
      <c r="I461" s="9">
        <v>18</v>
      </c>
      <c r="J461" s="9">
        <v>1697</v>
      </c>
      <c r="N461" s="2">
        <f t="shared" si="37"/>
        <v>2012</v>
      </c>
      <c r="O461" s="2">
        <f t="shared" si="38"/>
        <v>12</v>
      </c>
      <c r="P461" s="19">
        <f t="shared" si="35"/>
        <v>14199</v>
      </c>
      <c r="Q461" s="9">
        <v>12164</v>
      </c>
      <c r="R461" s="9">
        <v>1701</v>
      </c>
      <c r="S461" s="9">
        <v>6</v>
      </c>
      <c r="T461" s="9">
        <v>15</v>
      </c>
      <c r="U461" s="9">
        <v>313</v>
      </c>
    </row>
    <row r="462" spans="1:21">
      <c r="A462" s="2">
        <f t="shared" si="33"/>
        <v>2013</v>
      </c>
      <c r="B462" s="2">
        <f t="shared" si="34"/>
        <v>1</v>
      </c>
      <c r="C462" s="16">
        <f>SUM(D462:F462,I462:J462)</f>
        <v>18086</v>
      </c>
      <c r="D462" s="9">
        <v>8611</v>
      </c>
      <c r="E462" s="9">
        <v>7431</v>
      </c>
      <c r="F462" s="9">
        <v>390</v>
      </c>
      <c r="G462" s="9">
        <v>0</v>
      </c>
      <c r="H462" s="2">
        <f t="shared" ref="H462" si="40">F462-G462</f>
        <v>390</v>
      </c>
      <c r="I462" s="9">
        <v>17</v>
      </c>
      <c r="J462" s="9">
        <v>1637</v>
      </c>
      <c r="N462" s="2">
        <f t="shared" si="37"/>
        <v>2013</v>
      </c>
      <c r="O462" s="2">
        <f t="shared" si="38"/>
        <v>1</v>
      </c>
      <c r="P462" s="19">
        <f t="shared" ref="P462:P463" si="41">SUM(Q462:U462)</f>
        <v>14083</v>
      </c>
      <c r="Q462" s="9">
        <v>12066</v>
      </c>
      <c r="R462" s="9">
        <v>1683</v>
      </c>
      <c r="S462" s="9">
        <v>6</v>
      </c>
      <c r="T462" s="9">
        <v>15</v>
      </c>
      <c r="U462" s="9">
        <v>313</v>
      </c>
    </row>
    <row r="463" spans="1:21">
      <c r="A463" s="2">
        <f t="shared" si="33"/>
        <v>2013</v>
      </c>
      <c r="B463" s="2">
        <f t="shared" si="34"/>
        <v>2</v>
      </c>
      <c r="C463" s="16">
        <f t="shared" si="28"/>
        <v>17637</v>
      </c>
      <c r="D463" s="9">
        <v>8302</v>
      </c>
      <c r="E463" s="9">
        <v>7144</v>
      </c>
      <c r="F463" s="9">
        <v>482</v>
      </c>
      <c r="G463" s="9">
        <v>0</v>
      </c>
      <c r="H463" s="2">
        <f>F463-G463</f>
        <v>482</v>
      </c>
      <c r="I463" s="9">
        <v>17</v>
      </c>
      <c r="J463" s="9">
        <v>1692</v>
      </c>
      <c r="N463" s="2">
        <f t="shared" si="37"/>
        <v>2013</v>
      </c>
      <c r="O463" s="2">
        <f t="shared" si="38"/>
        <v>2</v>
      </c>
      <c r="P463" s="19">
        <f t="shared" si="41"/>
        <v>14120</v>
      </c>
      <c r="Q463" s="9">
        <v>12103</v>
      </c>
      <c r="R463" s="9">
        <v>1685</v>
      </c>
      <c r="S463" s="9">
        <v>6</v>
      </c>
      <c r="T463" s="9">
        <v>15</v>
      </c>
      <c r="U463" s="9">
        <v>311</v>
      </c>
    </row>
    <row r="464" spans="1:21">
      <c r="A464" s="2">
        <f t="shared" si="33"/>
        <v>2013</v>
      </c>
      <c r="B464" s="2">
        <f t="shared" si="34"/>
        <v>3</v>
      </c>
      <c r="C464" s="16">
        <f t="shared" si="28"/>
        <v>18342</v>
      </c>
      <c r="D464" s="9">
        <v>8502</v>
      </c>
      <c r="E464" s="9">
        <v>7561</v>
      </c>
      <c r="F464" s="9">
        <v>456</v>
      </c>
      <c r="G464" s="9">
        <v>0</v>
      </c>
      <c r="H464" s="2">
        <f t="shared" ref="H464:H467" si="42">F464-G464</f>
        <v>456</v>
      </c>
      <c r="I464" s="9">
        <v>16</v>
      </c>
      <c r="J464" s="9">
        <v>1807</v>
      </c>
      <c r="N464" s="2">
        <f t="shared" si="37"/>
        <v>2013</v>
      </c>
      <c r="O464" s="2">
        <f t="shared" si="38"/>
        <v>3</v>
      </c>
      <c r="P464" s="19">
        <f t="shared" ref="P464:P465" si="43">SUM(Q464:U464)</f>
        <v>14125</v>
      </c>
      <c r="Q464" s="9">
        <v>12108</v>
      </c>
      <c r="R464" s="9">
        <v>1685</v>
      </c>
      <c r="S464" s="9">
        <v>6</v>
      </c>
      <c r="T464" s="9">
        <v>15</v>
      </c>
      <c r="U464" s="9">
        <v>311</v>
      </c>
    </row>
    <row r="465" spans="1:21">
      <c r="A465" s="2">
        <f t="shared" si="33"/>
        <v>2013</v>
      </c>
      <c r="B465" s="2">
        <f t="shared" si="34"/>
        <v>4</v>
      </c>
      <c r="C465" s="16">
        <f t="shared" si="28"/>
        <v>17855</v>
      </c>
      <c r="D465" s="9">
        <v>9405</v>
      </c>
      <c r="E465" s="9">
        <v>6423</v>
      </c>
      <c r="F465" s="9">
        <v>435</v>
      </c>
      <c r="G465" s="9">
        <v>0</v>
      </c>
      <c r="H465" s="2">
        <f t="shared" si="42"/>
        <v>435</v>
      </c>
      <c r="I465" s="9">
        <v>15</v>
      </c>
      <c r="J465" s="9">
        <v>1577</v>
      </c>
      <c r="N465" s="2">
        <f t="shared" si="37"/>
        <v>2013</v>
      </c>
      <c r="O465" s="2">
        <f t="shared" si="38"/>
        <v>4</v>
      </c>
      <c r="P465" s="19">
        <f t="shared" si="43"/>
        <v>14160</v>
      </c>
      <c r="Q465" s="9">
        <v>12148</v>
      </c>
      <c r="R465" s="9">
        <v>1679</v>
      </c>
      <c r="S465" s="9">
        <v>6</v>
      </c>
      <c r="T465" s="9">
        <v>15</v>
      </c>
      <c r="U465" s="9">
        <v>312</v>
      </c>
    </row>
    <row r="466" spans="1:21">
      <c r="A466" s="2">
        <f t="shared" si="33"/>
        <v>2013</v>
      </c>
      <c r="B466" s="2">
        <f t="shared" si="34"/>
        <v>5</v>
      </c>
      <c r="C466" s="16">
        <f t="shared" si="28"/>
        <v>18935</v>
      </c>
      <c r="D466" s="9">
        <v>8355</v>
      </c>
      <c r="E466" s="9">
        <v>8272</v>
      </c>
      <c r="F466" s="9">
        <v>440</v>
      </c>
      <c r="G466" s="9">
        <v>0</v>
      </c>
      <c r="H466" s="2">
        <f t="shared" si="42"/>
        <v>440</v>
      </c>
      <c r="I466" s="9">
        <v>16</v>
      </c>
      <c r="J466" s="9">
        <v>1852</v>
      </c>
      <c r="N466" s="2">
        <f t="shared" si="37"/>
        <v>2013</v>
      </c>
      <c r="O466" s="2">
        <f t="shared" si="38"/>
        <v>5</v>
      </c>
      <c r="P466" s="19">
        <f t="shared" ref="P466" si="44">SUM(Q466:U466)</f>
        <v>14063</v>
      </c>
      <c r="Q466" s="9">
        <v>12050</v>
      </c>
      <c r="R466" s="9">
        <v>1681</v>
      </c>
      <c r="S466" s="9">
        <v>6</v>
      </c>
      <c r="T466" s="9">
        <v>15</v>
      </c>
      <c r="U466" s="9">
        <v>311</v>
      </c>
    </row>
    <row r="467" spans="1:21">
      <c r="A467" s="2">
        <f t="shared" si="33"/>
        <v>2013</v>
      </c>
      <c r="B467" s="2">
        <f t="shared" si="34"/>
        <v>6</v>
      </c>
      <c r="C467" s="16">
        <f t="shared" si="28"/>
        <v>20799</v>
      </c>
      <c r="D467" s="9">
        <v>9882</v>
      </c>
      <c r="E467" s="9">
        <v>8412</v>
      </c>
      <c r="F467" s="9">
        <v>488</v>
      </c>
      <c r="G467" s="9">
        <v>0</v>
      </c>
      <c r="H467" s="2">
        <f t="shared" si="42"/>
        <v>488</v>
      </c>
      <c r="I467" s="9">
        <v>15</v>
      </c>
      <c r="J467" s="9">
        <v>2002</v>
      </c>
      <c r="N467" s="2">
        <f t="shared" si="37"/>
        <v>2013</v>
      </c>
      <c r="O467" s="2">
        <f t="shared" si="38"/>
        <v>6</v>
      </c>
      <c r="P467" s="19">
        <f t="shared" ref="P467" si="45">SUM(Q467:U467)</f>
        <v>14063</v>
      </c>
      <c r="Q467" s="9">
        <v>12042</v>
      </c>
      <c r="R467" s="9">
        <v>1687</v>
      </c>
      <c r="S467" s="9">
        <v>6</v>
      </c>
      <c r="T467" s="9">
        <v>15</v>
      </c>
      <c r="U467" s="9">
        <v>313</v>
      </c>
    </row>
    <row r="468" spans="1:21">
      <c r="A468" s="2">
        <f t="shared" si="33"/>
        <v>2013</v>
      </c>
      <c r="B468" s="2">
        <f t="shared" si="34"/>
        <v>7</v>
      </c>
      <c r="C468" s="16">
        <f t="shared" si="28"/>
        <v>21269</v>
      </c>
      <c r="D468" s="9">
        <v>10324</v>
      </c>
      <c r="E468" s="9">
        <v>8748</v>
      </c>
      <c r="F468" s="9">
        <v>441</v>
      </c>
      <c r="G468" s="9">
        <v>0</v>
      </c>
      <c r="H468" s="2">
        <f t="shared" ref="H468:H472" si="46">F468-G468</f>
        <v>441</v>
      </c>
      <c r="I468" s="9">
        <v>9</v>
      </c>
      <c r="J468" s="9">
        <v>1747</v>
      </c>
      <c r="N468" s="2">
        <f t="shared" si="37"/>
        <v>2013</v>
      </c>
      <c r="O468" s="2">
        <f t="shared" si="38"/>
        <v>7</v>
      </c>
      <c r="P468" s="19">
        <f t="shared" ref="P468:P469" si="47">SUM(Q468:U468)</f>
        <v>14032</v>
      </c>
      <c r="Q468" s="9">
        <v>12015</v>
      </c>
      <c r="R468" s="9">
        <v>1686</v>
      </c>
      <c r="S468" s="9">
        <v>6</v>
      </c>
      <c r="T468" s="9">
        <v>14</v>
      </c>
      <c r="U468" s="9">
        <v>311</v>
      </c>
    </row>
    <row r="469" spans="1:21">
      <c r="A469" s="2">
        <f t="shared" si="33"/>
        <v>2013</v>
      </c>
      <c r="B469" s="2">
        <f t="shared" si="34"/>
        <v>8</v>
      </c>
      <c r="C469" s="16">
        <f t="shared" si="28"/>
        <v>20677</v>
      </c>
      <c r="D469" s="9">
        <v>9999</v>
      </c>
      <c r="E469" s="9">
        <v>8405</v>
      </c>
      <c r="F469" s="9">
        <v>469</v>
      </c>
      <c r="G469" s="9">
        <v>0</v>
      </c>
      <c r="H469" s="2">
        <f t="shared" si="46"/>
        <v>469</v>
      </c>
      <c r="I469" s="9">
        <v>9</v>
      </c>
      <c r="J469" s="9">
        <v>1795</v>
      </c>
      <c r="N469" s="2">
        <f t="shared" si="37"/>
        <v>2013</v>
      </c>
      <c r="O469" s="2">
        <f t="shared" si="38"/>
        <v>8</v>
      </c>
      <c r="P469" s="19">
        <f t="shared" si="47"/>
        <v>14051</v>
      </c>
      <c r="Q469" s="9">
        <v>12018</v>
      </c>
      <c r="R469" s="9">
        <v>1698</v>
      </c>
      <c r="S469" s="9">
        <v>6</v>
      </c>
      <c r="T469" s="9">
        <v>14</v>
      </c>
      <c r="U469" s="9">
        <v>315</v>
      </c>
    </row>
    <row r="470" spans="1:21">
      <c r="A470" s="2">
        <f t="shared" si="33"/>
        <v>2013</v>
      </c>
      <c r="B470" s="2">
        <f t="shared" si="34"/>
        <v>9</v>
      </c>
      <c r="C470" s="16">
        <f t="shared" si="28"/>
        <v>23101</v>
      </c>
      <c r="D470" s="9">
        <v>11586</v>
      </c>
      <c r="E470" s="9">
        <v>8893</v>
      </c>
      <c r="F470" s="9">
        <v>558</v>
      </c>
      <c r="G470" s="9">
        <v>0</v>
      </c>
      <c r="H470" s="2">
        <f t="shared" si="46"/>
        <v>558</v>
      </c>
      <c r="I470" s="9">
        <v>9</v>
      </c>
      <c r="J470" s="9">
        <v>2055</v>
      </c>
      <c r="N470" s="2">
        <f t="shared" si="37"/>
        <v>2013</v>
      </c>
      <c r="O470" s="2">
        <f t="shared" si="38"/>
        <v>9</v>
      </c>
      <c r="P470" s="19">
        <f t="shared" ref="P470:P472" si="48">SUM(Q470:U470)</f>
        <v>14012</v>
      </c>
      <c r="Q470" s="9">
        <v>11985</v>
      </c>
      <c r="R470" s="9">
        <v>1694</v>
      </c>
      <c r="S470" s="9">
        <v>6</v>
      </c>
      <c r="T470" s="9">
        <v>14</v>
      </c>
      <c r="U470" s="9">
        <v>313</v>
      </c>
    </row>
    <row r="471" spans="1:21">
      <c r="A471" s="2">
        <f t="shared" si="33"/>
        <v>2013</v>
      </c>
      <c r="B471" s="2">
        <f t="shared" si="34"/>
        <v>10</v>
      </c>
      <c r="C471" s="16">
        <f t="shared" si="28"/>
        <v>20311</v>
      </c>
      <c r="D471" s="9">
        <v>9526</v>
      </c>
      <c r="E471" s="9">
        <v>8282</v>
      </c>
      <c r="F471" s="9">
        <v>564</v>
      </c>
      <c r="G471" s="9">
        <v>0</v>
      </c>
      <c r="H471" s="2">
        <f t="shared" si="46"/>
        <v>564</v>
      </c>
      <c r="I471" s="9">
        <v>1</v>
      </c>
      <c r="J471" s="9">
        <v>1938</v>
      </c>
      <c r="N471" s="2">
        <f t="shared" si="37"/>
        <v>2013</v>
      </c>
      <c r="O471" s="2">
        <f t="shared" si="38"/>
        <v>10</v>
      </c>
      <c r="P471" s="19">
        <f t="shared" si="48"/>
        <v>14021</v>
      </c>
      <c r="Q471" s="9">
        <v>11992</v>
      </c>
      <c r="R471" s="9">
        <v>1696</v>
      </c>
      <c r="S471" s="9">
        <v>6</v>
      </c>
      <c r="T471" s="9">
        <v>14</v>
      </c>
      <c r="U471" s="9">
        <v>313</v>
      </c>
    </row>
    <row r="472" spans="1:21">
      <c r="A472" s="2">
        <f t="shared" si="33"/>
        <v>2013</v>
      </c>
      <c r="B472" s="2">
        <f t="shared" si="34"/>
        <v>11</v>
      </c>
      <c r="C472" s="16">
        <f t="shared" si="28"/>
        <v>17422</v>
      </c>
      <c r="D472" s="9">
        <v>8067</v>
      </c>
      <c r="E472" s="9">
        <v>7172</v>
      </c>
      <c r="F472" s="9">
        <v>565</v>
      </c>
      <c r="G472" s="9">
        <v>0</v>
      </c>
      <c r="H472" s="2">
        <f t="shared" si="46"/>
        <v>565</v>
      </c>
      <c r="J472" s="9">
        <v>1618</v>
      </c>
      <c r="N472" s="2">
        <f t="shared" si="37"/>
        <v>2013</v>
      </c>
      <c r="O472" s="2">
        <f t="shared" si="38"/>
        <v>11</v>
      </c>
      <c r="P472" s="19">
        <f t="shared" si="48"/>
        <v>14012</v>
      </c>
      <c r="Q472" s="9">
        <v>12033</v>
      </c>
      <c r="R472" s="9">
        <v>1666</v>
      </c>
      <c r="S472" s="9">
        <v>6</v>
      </c>
      <c r="T472" s="9">
        <v>2</v>
      </c>
      <c r="U472" s="9">
        <v>305</v>
      </c>
    </row>
    <row r="473" spans="1:21">
      <c r="A473" s="2">
        <f t="shared" si="33"/>
        <v>2013</v>
      </c>
      <c r="B473" s="2">
        <f t="shared" si="34"/>
        <v>12</v>
      </c>
      <c r="C473" s="16">
        <f t="shared" si="28"/>
        <v>17699</v>
      </c>
      <c r="D473" s="9">
        <v>7887</v>
      </c>
      <c r="E473" s="9">
        <v>7627</v>
      </c>
      <c r="F473" s="9">
        <v>477</v>
      </c>
      <c r="G473" s="9">
        <v>0</v>
      </c>
      <c r="H473" s="2">
        <f t="shared" ref="H473" si="49">F473-G473</f>
        <v>477</v>
      </c>
      <c r="I473" s="9">
        <v>9</v>
      </c>
      <c r="J473" s="9">
        <v>1699</v>
      </c>
      <c r="N473" s="2">
        <f t="shared" si="37"/>
        <v>2013</v>
      </c>
      <c r="O473" s="2">
        <f t="shared" si="38"/>
        <v>12</v>
      </c>
      <c r="P473" s="19">
        <f t="shared" ref="P473" si="50">SUM(Q473:U473)</f>
        <v>14083</v>
      </c>
      <c r="Q473" s="9">
        <v>12064</v>
      </c>
      <c r="R473" s="9">
        <v>1689</v>
      </c>
      <c r="S473" s="9">
        <v>6</v>
      </c>
      <c r="T473" s="9">
        <v>14</v>
      </c>
      <c r="U473" s="9">
        <v>310</v>
      </c>
    </row>
    <row r="474" spans="1:21">
      <c r="C474" s="16"/>
      <c r="D474" s="9"/>
      <c r="E474" s="9"/>
      <c r="F474" s="9"/>
      <c r="G474" s="9"/>
      <c r="I474" s="9"/>
      <c r="J474" s="9"/>
      <c r="P474" s="19"/>
      <c r="Q474" s="9"/>
      <c r="R474" s="9"/>
      <c r="S474" s="9"/>
      <c r="T474" s="9"/>
      <c r="U474" s="9"/>
    </row>
    <row r="475" spans="1:21">
      <c r="C475" s="16"/>
      <c r="D475" s="9"/>
      <c r="E475" s="9"/>
      <c r="F475" s="9"/>
      <c r="G475" s="9"/>
      <c r="I475" s="9"/>
      <c r="J475" s="9"/>
      <c r="P475" s="19"/>
      <c r="Q475" s="9"/>
      <c r="R475" s="9"/>
      <c r="S475" s="9"/>
      <c r="T475" s="9"/>
      <c r="U475" s="9"/>
    </row>
    <row r="476" spans="1:21">
      <c r="C476" s="16"/>
      <c r="D476" s="9"/>
      <c r="E476" s="9"/>
      <c r="F476" s="9"/>
      <c r="G476" s="9"/>
      <c r="I476" s="9"/>
      <c r="J476" s="9"/>
      <c r="P476" s="19"/>
      <c r="Q476" s="9"/>
      <c r="R476" s="9"/>
      <c r="S476" s="9"/>
      <c r="T476" s="9"/>
      <c r="U476" s="9"/>
    </row>
    <row r="477" spans="1:21">
      <c r="C477" s="16"/>
      <c r="D477" s="9"/>
      <c r="E477" s="9"/>
      <c r="F477" s="9"/>
      <c r="G477" s="9"/>
      <c r="I477" s="9"/>
      <c r="J477" s="9"/>
      <c r="P477" s="19"/>
      <c r="Q477" s="9"/>
      <c r="R477" s="9"/>
      <c r="S477" s="9"/>
      <c r="T477" s="9"/>
      <c r="U477" s="9"/>
    </row>
    <row r="478" spans="1:21">
      <c r="C478" s="16"/>
      <c r="D478" s="9"/>
      <c r="E478" s="9"/>
      <c r="F478" s="9"/>
      <c r="G478" s="9"/>
      <c r="I478" s="9"/>
      <c r="J478" s="9"/>
      <c r="P478" s="19"/>
      <c r="Q478" s="9"/>
      <c r="R478" s="9"/>
      <c r="S478" s="9"/>
      <c r="T478" s="9"/>
      <c r="U478" s="9"/>
    </row>
    <row r="479" spans="1:21">
      <c r="D479" s="9"/>
      <c r="E479" s="9"/>
      <c r="F479" s="9"/>
      <c r="G479" s="9"/>
      <c r="I479" s="9"/>
      <c r="J479" s="9"/>
      <c r="Q479" s="9"/>
      <c r="R479" s="9"/>
      <c r="S479" s="9"/>
      <c r="T479" s="9"/>
      <c r="U479" s="9"/>
    </row>
    <row r="480" spans="1:21">
      <c r="D480" s="9"/>
      <c r="E480" s="9"/>
      <c r="F480" s="9"/>
      <c r="G480" s="9"/>
      <c r="I480" s="9"/>
      <c r="J480" s="9"/>
      <c r="Q480" s="9"/>
      <c r="R480" s="9"/>
      <c r="S480" s="9"/>
      <c r="T480" s="9"/>
      <c r="U480" s="9"/>
    </row>
    <row r="481" spans="1:21">
      <c r="D481" s="9"/>
      <c r="E481" s="9"/>
      <c r="F481" s="9"/>
      <c r="G481" s="9"/>
      <c r="I481" s="9"/>
      <c r="J481" s="9"/>
      <c r="Q481" s="9"/>
      <c r="R481" s="9"/>
      <c r="S481" s="9"/>
      <c r="T481" s="9"/>
      <c r="U481" s="9"/>
    </row>
    <row r="482" spans="1:21">
      <c r="D482" s="9"/>
      <c r="E482" s="9"/>
      <c r="F482" s="9"/>
      <c r="G482" s="9"/>
      <c r="I482" s="9"/>
      <c r="J482" s="9"/>
      <c r="Q482" s="9"/>
      <c r="R482" s="9"/>
      <c r="S482" s="9"/>
      <c r="T482" s="9"/>
      <c r="U482" s="9"/>
    </row>
    <row r="483" spans="1:21">
      <c r="D483" s="9"/>
      <c r="E483" s="9"/>
      <c r="F483" s="9"/>
      <c r="G483" s="9"/>
      <c r="I483" s="9"/>
      <c r="J483" s="9"/>
      <c r="Q483" s="9"/>
      <c r="R483" s="9"/>
      <c r="S483" s="9"/>
      <c r="T483" s="9"/>
      <c r="U483" s="9"/>
    </row>
    <row r="484" spans="1:21">
      <c r="D484" s="9"/>
      <c r="E484" s="9"/>
      <c r="F484" s="9"/>
      <c r="G484" s="9"/>
      <c r="I484" s="9"/>
      <c r="J484" s="9"/>
      <c r="Q484" s="9"/>
      <c r="R484" s="9"/>
      <c r="S484" s="9"/>
      <c r="T484" s="9"/>
      <c r="U484" s="9"/>
    </row>
    <row r="485" spans="1:21">
      <c r="D485" s="9"/>
      <c r="E485" s="9"/>
      <c r="F485" s="9"/>
      <c r="G485" s="9"/>
      <c r="I485" s="9"/>
      <c r="J485" s="9"/>
      <c r="Q485" s="9"/>
      <c r="R485" s="9"/>
      <c r="S485" s="9"/>
      <c r="T485" s="9"/>
      <c r="U485" s="9"/>
    </row>
    <row r="486" spans="1:21">
      <c r="Q486" s="9"/>
      <c r="R486" s="9"/>
      <c r="S486" s="9"/>
      <c r="T486" s="9"/>
      <c r="U486" s="9"/>
    </row>
    <row r="487" spans="1:21">
      <c r="Q487" s="9"/>
      <c r="R487" s="9"/>
      <c r="S487" s="9"/>
      <c r="T487" s="9"/>
      <c r="U487" s="9"/>
    </row>
    <row r="488" spans="1:21">
      <c r="Q488" s="9"/>
      <c r="R488" s="9"/>
      <c r="S488" s="9"/>
      <c r="T488" s="9"/>
      <c r="U488" s="9"/>
    </row>
    <row r="489" spans="1:21">
      <c r="Q489" s="9"/>
      <c r="R489" s="9"/>
      <c r="S489" s="9"/>
      <c r="T489" s="9"/>
      <c r="U489" s="9"/>
    </row>
    <row r="490" spans="1:21">
      <c r="Q490" s="9"/>
      <c r="R490" s="9"/>
      <c r="S490" s="9"/>
      <c r="T490" s="9"/>
      <c r="U490" s="9"/>
    </row>
    <row r="491" spans="1:21">
      <c r="A491" s="6" t="s">
        <v>32</v>
      </c>
      <c r="N491" s="6" t="s">
        <v>32</v>
      </c>
    </row>
    <row r="492" spans="1:21">
      <c r="A492" s="2">
        <v>1976</v>
      </c>
      <c r="N492" s="2">
        <f>A492</f>
        <v>1976</v>
      </c>
    </row>
    <row r="493" spans="1:21">
      <c r="A493" s="2">
        <f t="shared" ref="A493:A497" si="51">A492+1</f>
        <v>1977</v>
      </c>
      <c r="N493" s="2">
        <f t="shared" ref="N493:N497" si="52">N492+1</f>
        <v>1977</v>
      </c>
    </row>
    <row r="494" spans="1:21">
      <c r="A494" s="2">
        <f t="shared" si="51"/>
        <v>1978</v>
      </c>
      <c r="N494" s="2">
        <f t="shared" si="52"/>
        <v>1978</v>
      </c>
    </row>
    <row r="495" spans="1:21">
      <c r="A495" s="2">
        <f t="shared" si="51"/>
        <v>1979</v>
      </c>
      <c r="N495" s="2">
        <f t="shared" si="52"/>
        <v>1979</v>
      </c>
    </row>
    <row r="496" spans="1:21">
      <c r="A496" s="2">
        <f t="shared" si="51"/>
        <v>1980</v>
      </c>
      <c r="N496" s="2">
        <f t="shared" si="52"/>
        <v>1980</v>
      </c>
    </row>
    <row r="497" spans="1:21">
      <c r="A497" s="2">
        <f t="shared" si="51"/>
        <v>1981</v>
      </c>
      <c r="N497" s="2">
        <f t="shared" si="52"/>
        <v>1981</v>
      </c>
    </row>
    <row r="498" spans="1:21">
      <c r="A498" s="2">
        <f t="shared" ref="A498:A517" si="53">(A497+1)</f>
        <v>1982</v>
      </c>
      <c r="N498" s="2">
        <f t="shared" ref="N498:N518" si="54">(N497+1)</f>
        <v>1982</v>
      </c>
    </row>
    <row r="499" spans="1:21">
      <c r="A499" s="2">
        <f t="shared" si="53"/>
        <v>1983</v>
      </c>
      <c r="N499" s="2">
        <f t="shared" si="54"/>
        <v>1983</v>
      </c>
    </row>
    <row r="500" spans="1:21">
      <c r="A500" s="2">
        <f t="shared" si="53"/>
        <v>1984</v>
      </c>
      <c r="N500" s="2">
        <f t="shared" si="54"/>
        <v>1984</v>
      </c>
    </row>
    <row r="501" spans="1:21">
      <c r="A501" s="2">
        <f t="shared" si="53"/>
        <v>1985</v>
      </c>
      <c r="N501" s="2">
        <f t="shared" si="54"/>
        <v>1985</v>
      </c>
    </row>
    <row r="502" spans="1:21">
      <c r="A502" s="2">
        <f t="shared" si="53"/>
        <v>1986</v>
      </c>
      <c r="N502" s="2">
        <f t="shared" si="54"/>
        <v>1986</v>
      </c>
    </row>
    <row r="503" spans="1:21">
      <c r="A503" s="2">
        <f t="shared" si="53"/>
        <v>1987</v>
      </c>
      <c r="N503" s="2">
        <f t="shared" si="54"/>
        <v>1987</v>
      </c>
    </row>
    <row r="504" spans="1:21">
      <c r="A504" s="2">
        <f t="shared" si="53"/>
        <v>1988</v>
      </c>
      <c r="N504" s="2">
        <f t="shared" si="54"/>
        <v>1988</v>
      </c>
    </row>
    <row r="505" spans="1:21">
      <c r="A505" s="2">
        <f t="shared" si="53"/>
        <v>1989</v>
      </c>
      <c r="N505" s="2">
        <f t="shared" si="54"/>
        <v>1989</v>
      </c>
    </row>
    <row r="506" spans="1:21">
      <c r="A506" s="2">
        <f t="shared" si="53"/>
        <v>1990</v>
      </c>
      <c r="N506" s="2">
        <f t="shared" si="54"/>
        <v>1990</v>
      </c>
    </row>
    <row r="507" spans="1:21">
      <c r="A507" s="2">
        <f t="shared" si="53"/>
        <v>1991</v>
      </c>
      <c r="N507" s="2">
        <f t="shared" si="54"/>
        <v>1991</v>
      </c>
    </row>
    <row r="508" spans="1:21">
      <c r="A508" s="2">
        <f t="shared" si="53"/>
        <v>1992</v>
      </c>
      <c r="N508" s="2">
        <f t="shared" si="54"/>
        <v>1992</v>
      </c>
    </row>
    <row r="509" spans="1:21">
      <c r="A509" s="2">
        <f t="shared" si="53"/>
        <v>1993</v>
      </c>
      <c r="C509" s="2">
        <f t="shared" ref="C509:J509" si="55">SUM(C222:C233)</f>
        <v>137701</v>
      </c>
      <c r="D509" s="2">
        <f t="shared" si="55"/>
        <v>69108</v>
      </c>
      <c r="E509" s="2">
        <f t="shared" si="55"/>
        <v>57466</v>
      </c>
      <c r="F509" s="2">
        <f t="shared" si="55"/>
        <v>0</v>
      </c>
      <c r="G509" s="2">
        <f t="shared" si="55"/>
        <v>0</v>
      </c>
      <c r="H509" s="2">
        <f t="shared" si="55"/>
        <v>0</v>
      </c>
      <c r="I509" s="2">
        <f t="shared" si="55"/>
        <v>0</v>
      </c>
      <c r="J509" s="2">
        <f t="shared" si="55"/>
        <v>11127</v>
      </c>
      <c r="N509" s="2">
        <f t="shared" si="54"/>
        <v>1993</v>
      </c>
      <c r="P509" s="20">
        <f t="shared" ref="P509:U509" si="56">SUM(P222:P233)/12</f>
        <v>8599.8333333333339</v>
      </c>
      <c r="Q509" s="20">
        <f t="shared" si="56"/>
        <v>7474.083333333333</v>
      </c>
      <c r="R509" s="20">
        <f t="shared" si="56"/>
        <v>1007.75</v>
      </c>
      <c r="S509" s="20">
        <f t="shared" si="56"/>
        <v>0</v>
      </c>
      <c r="T509" s="20">
        <f t="shared" si="56"/>
        <v>0</v>
      </c>
      <c r="U509" s="20">
        <f t="shared" si="56"/>
        <v>118</v>
      </c>
    </row>
    <row r="510" spans="1:21">
      <c r="A510" s="2">
        <f t="shared" si="53"/>
        <v>1994</v>
      </c>
      <c r="C510" s="2">
        <f t="shared" ref="C510:J510" si="57">SUM(C234:C245)</f>
        <v>192354</v>
      </c>
      <c r="D510" s="2">
        <f t="shared" si="57"/>
        <v>97849</v>
      </c>
      <c r="E510" s="2">
        <f t="shared" si="57"/>
        <v>78993</v>
      </c>
      <c r="F510" s="2">
        <f t="shared" si="57"/>
        <v>0</v>
      </c>
      <c r="G510" s="2">
        <f t="shared" si="57"/>
        <v>0</v>
      </c>
      <c r="H510" s="2">
        <f t="shared" si="57"/>
        <v>0</v>
      </c>
      <c r="I510" s="2">
        <f t="shared" si="57"/>
        <v>112</v>
      </c>
      <c r="J510" s="2">
        <f t="shared" si="57"/>
        <v>15400</v>
      </c>
      <c r="N510" s="2">
        <f t="shared" si="54"/>
        <v>1994</v>
      </c>
      <c r="P510" s="20">
        <f t="shared" ref="P510:U510" si="58">AVERAGE(P234:P245)</f>
        <v>11996.166666666666</v>
      </c>
      <c r="Q510" s="20">
        <f t="shared" si="58"/>
        <v>10420.916666666666</v>
      </c>
      <c r="R510" s="20">
        <f t="shared" si="58"/>
        <v>1388.25</v>
      </c>
      <c r="S510" s="20">
        <f t="shared" si="58"/>
        <v>0</v>
      </c>
      <c r="T510" s="20">
        <f t="shared" si="58"/>
        <v>21.333333333333332</v>
      </c>
      <c r="U510" s="20">
        <f t="shared" si="58"/>
        <v>165.66666666666666</v>
      </c>
    </row>
    <row r="511" spans="1:21">
      <c r="A511" s="2">
        <f t="shared" si="53"/>
        <v>1995</v>
      </c>
      <c r="C511" s="2">
        <f t="shared" ref="C511:J511" si="59">SUM(C246:C257)</f>
        <v>202410</v>
      </c>
      <c r="D511" s="2">
        <f t="shared" si="59"/>
        <v>106027</v>
      </c>
      <c r="E511" s="2">
        <f t="shared" si="59"/>
        <v>80998</v>
      </c>
      <c r="F511" s="2">
        <f t="shared" si="59"/>
        <v>0</v>
      </c>
      <c r="G511" s="2">
        <f t="shared" si="59"/>
        <v>0</v>
      </c>
      <c r="H511" s="2">
        <f t="shared" si="59"/>
        <v>0</v>
      </c>
      <c r="I511" s="2">
        <f t="shared" si="59"/>
        <v>168</v>
      </c>
      <c r="J511" s="2">
        <f t="shared" si="59"/>
        <v>15217</v>
      </c>
      <c r="N511" s="2">
        <f t="shared" si="54"/>
        <v>1995</v>
      </c>
      <c r="P511" s="20">
        <f t="shared" ref="P511:U511" si="60">AVERAGE(P246:P257)</f>
        <v>12230.916666666666</v>
      </c>
      <c r="Q511" s="20">
        <f t="shared" si="60"/>
        <v>10598.75</v>
      </c>
      <c r="R511" s="20">
        <f t="shared" si="60"/>
        <v>1415.0833333333333</v>
      </c>
      <c r="S511" s="20">
        <f t="shared" si="60"/>
        <v>0</v>
      </c>
      <c r="T511" s="20">
        <f t="shared" si="60"/>
        <v>32</v>
      </c>
      <c r="U511" s="20">
        <f t="shared" si="60"/>
        <v>185.08333333333334</v>
      </c>
    </row>
    <row r="512" spans="1:21">
      <c r="A512" s="2">
        <f t="shared" si="53"/>
        <v>1996</v>
      </c>
      <c r="C512" s="2">
        <f t="shared" ref="C512:J512" si="61">SUM(C258:C269)</f>
        <v>202702</v>
      </c>
      <c r="D512" s="2">
        <f t="shared" si="61"/>
        <v>107947</v>
      </c>
      <c r="E512" s="2">
        <f t="shared" si="61"/>
        <v>78842</v>
      </c>
      <c r="F512" s="2">
        <f t="shared" si="61"/>
        <v>13</v>
      </c>
      <c r="G512" s="2">
        <f t="shared" si="61"/>
        <v>0</v>
      </c>
      <c r="H512" s="2">
        <f t="shared" si="61"/>
        <v>13</v>
      </c>
      <c r="I512" s="2">
        <f t="shared" si="61"/>
        <v>173</v>
      </c>
      <c r="J512" s="2">
        <f t="shared" si="61"/>
        <v>15727</v>
      </c>
      <c r="N512" s="2">
        <f t="shared" si="54"/>
        <v>1996</v>
      </c>
      <c r="P512" s="20">
        <f t="shared" ref="P512:U512" si="62">AVERAGE(P258:P269)</f>
        <v>12134.916666666666</v>
      </c>
      <c r="Q512" s="20">
        <f t="shared" si="62"/>
        <v>10513</v>
      </c>
      <c r="R512" s="20">
        <f t="shared" si="62"/>
        <v>1411.75</v>
      </c>
      <c r="S512" s="20">
        <f t="shared" si="62"/>
        <v>0.33333333333333331</v>
      </c>
      <c r="T512" s="20">
        <f t="shared" si="62"/>
        <v>21.666666666666668</v>
      </c>
      <c r="U512" s="20">
        <f t="shared" si="62"/>
        <v>188.16666666666666</v>
      </c>
    </row>
    <row r="513" spans="1:21">
      <c r="A513" s="2">
        <f t="shared" si="53"/>
        <v>1997</v>
      </c>
      <c r="C513" s="2">
        <f t="shared" ref="C513:J513" si="63">SUM(C270:C281)</f>
        <v>200601</v>
      </c>
      <c r="D513" s="2">
        <f t="shared" si="63"/>
        <v>101155</v>
      </c>
      <c r="E513" s="2">
        <f t="shared" si="63"/>
        <v>82682</v>
      </c>
      <c r="F513" s="2">
        <f t="shared" si="63"/>
        <v>69</v>
      </c>
      <c r="G513" s="2">
        <f t="shared" si="63"/>
        <v>0</v>
      </c>
      <c r="H513" s="2">
        <f t="shared" si="63"/>
        <v>69</v>
      </c>
      <c r="I513" s="2">
        <f t="shared" si="63"/>
        <v>166</v>
      </c>
      <c r="J513" s="2">
        <f t="shared" si="63"/>
        <v>16529</v>
      </c>
      <c r="N513" s="2">
        <f t="shared" si="54"/>
        <v>1997</v>
      </c>
      <c r="P513" s="20">
        <f t="shared" ref="P513:U513" si="64">AVERAGE(P270:P281)</f>
        <v>12157.75</v>
      </c>
      <c r="Q513" s="20">
        <f t="shared" si="64"/>
        <v>10495.5</v>
      </c>
      <c r="R513" s="20">
        <f t="shared" si="64"/>
        <v>1432</v>
      </c>
      <c r="S513" s="20">
        <f t="shared" si="64"/>
        <v>2.0833333333333335</v>
      </c>
      <c r="T513" s="20">
        <f t="shared" si="64"/>
        <v>18.166666666666668</v>
      </c>
      <c r="U513" s="20">
        <f t="shared" si="64"/>
        <v>210</v>
      </c>
    </row>
    <row r="514" spans="1:21">
      <c r="A514" s="2">
        <f t="shared" si="53"/>
        <v>1998</v>
      </c>
      <c r="C514" s="2">
        <f t="shared" ref="C514:J514" si="65">SUM(C282:C293)</f>
        <v>214776</v>
      </c>
      <c r="D514" s="2">
        <f t="shared" si="65"/>
        <v>111360</v>
      </c>
      <c r="E514" s="2">
        <f t="shared" si="65"/>
        <v>85492</v>
      </c>
      <c r="F514" s="2">
        <f t="shared" si="65"/>
        <v>81</v>
      </c>
      <c r="G514" s="2">
        <f t="shared" si="65"/>
        <v>0</v>
      </c>
      <c r="H514" s="2">
        <f t="shared" si="65"/>
        <v>81</v>
      </c>
      <c r="I514" s="2">
        <f t="shared" si="65"/>
        <v>167</v>
      </c>
      <c r="J514" s="2">
        <f t="shared" si="65"/>
        <v>17676</v>
      </c>
      <c r="N514" s="2">
        <f t="shared" si="54"/>
        <v>1998</v>
      </c>
      <c r="P514" s="20">
        <f t="shared" ref="P514:U514" si="66">AVERAGE(P282:P293)</f>
        <v>12457.833333333334</v>
      </c>
      <c r="Q514" s="20">
        <f t="shared" si="66"/>
        <v>10777.083333333334</v>
      </c>
      <c r="R514" s="20">
        <f t="shared" si="66"/>
        <v>1446.4166666666667</v>
      </c>
      <c r="S514" s="20">
        <f t="shared" si="66"/>
        <v>2</v>
      </c>
      <c r="T514" s="20">
        <f t="shared" si="66"/>
        <v>18</v>
      </c>
      <c r="U514" s="20">
        <f t="shared" si="66"/>
        <v>214.33333333333334</v>
      </c>
    </row>
    <row r="515" spans="1:21">
      <c r="A515" s="2">
        <f t="shared" si="53"/>
        <v>1999</v>
      </c>
      <c r="C515" s="2">
        <f t="shared" ref="C515:J515" si="67">SUM(C294:C305)</f>
        <v>207839</v>
      </c>
      <c r="D515" s="2">
        <f t="shared" si="67"/>
        <v>104995</v>
      </c>
      <c r="E515" s="2">
        <f t="shared" si="67"/>
        <v>83743</v>
      </c>
      <c r="F515" s="2">
        <f t="shared" si="67"/>
        <v>401</v>
      </c>
      <c r="G515" s="2">
        <f t="shared" si="67"/>
        <v>0</v>
      </c>
      <c r="H515" s="2">
        <f t="shared" si="67"/>
        <v>401</v>
      </c>
      <c r="I515" s="2">
        <f t="shared" si="67"/>
        <v>169</v>
      </c>
      <c r="J515" s="2">
        <f t="shared" si="67"/>
        <v>18531</v>
      </c>
      <c r="N515" s="2">
        <f t="shared" si="54"/>
        <v>1999</v>
      </c>
      <c r="P515" s="20">
        <f t="shared" ref="P515:U515" si="68">AVERAGE(P294:P305)</f>
        <v>12574.833333333334</v>
      </c>
      <c r="Q515" s="20">
        <f t="shared" si="68"/>
        <v>10887.583333333334</v>
      </c>
      <c r="R515" s="20">
        <f t="shared" si="68"/>
        <v>1445.5833333333333</v>
      </c>
      <c r="S515" s="20">
        <f t="shared" si="68"/>
        <v>3.1666666666666665</v>
      </c>
      <c r="T515" s="20">
        <f t="shared" si="68"/>
        <v>18.083333333333332</v>
      </c>
      <c r="U515" s="20">
        <f t="shared" si="68"/>
        <v>220.41666666666666</v>
      </c>
    </row>
    <row r="516" spans="1:21">
      <c r="A516" s="2">
        <f t="shared" si="53"/>
        <v>2000</v>
      </c>
      <c r="C516" s="2">
        <f t="shared" ref="C516:J516" si="69">SUM(C306:C317)</f>
        <v>211188</v>
      </c>
      <c r="D516" s="2">
        <f t="shared" si="69"/>
        <v>108218</v>
      </c>
      <c r="E516" s="2">
        <f t="shared" si="69"/>
        <v>84143</v>
      </c>
      <c r="F516" s="2">
        <f t="shared" si="69"/>
        <v>586</v>
      </c>
      <c r="G516" s="2">
        <f t="shared" si="69"/>
        <v>0</v>
      </c>
      <c r="H516" s="2">
        <f t="shared" si="69"/>
        <v>586</v>
      </c>
      <c r="I516" s="2">
        <f t="shared" si="69"/>
        <v>162</v>
      </c>
      <c r="J516" s="2">
        <f t="shared" si="69"/>
        <v>18079</v>
      </c>
      <c r="N516" s="2">
        <f t="shared" si="54"/>
        <v>2000</v>
      </c>
      <c r="P516" s="20">
        <f t="shared" ref="P516:U516" si="70">AVERAGE(P306:P317)</f>
        <v>12687.75</v>
      </c>
      <c r="Q516" s="20">
        <f t="shared" si="70"/>
        <v>10965.833333333334</v>
      </c>
      <c r="R516" s="20">
        <f t="shared" si="70"/>
        <v>1486.1666666666667</v>
      </c>
      <c r="S516" s="20">
        <f t="shared" si="70"/>
        <v>4</v>
      </c>
      <c r="T516" s="20">
        <f t="shared" si="70"/>
        <v>17.5</v>
      </c>
      <c r="U516" s="20">
        <f t="shared" si="70"/>
        <v>214.25</v>
      </c>
    </row>
    <row r="517" spans="1:21">
      <c r="A517" s="2">
        <f t="shared" si="53"/>
        <v>2001</v>
      </c>
      <c r="C517" s="2">
        <f t="shared" ref="C517:J517" si="71">SUM(C318:C329)</f>
        <v>211219</v>
      </c>
      <c r="D517" s="2">
        <f t="shared" si="71"/>
        <v>110156</v>
      </c>
      <c r="E517" s="2">
        <f t="shared" si="71"/>
        <v>82844</v>
      </c>
      <c r="F517" s="2">
        <f t="shared" si="71"/>
        <v>552</v>
      </c>
      <c r="G517" s="2">
        <f t="shared" si="71"/>
        <v>0</v>
      </c>
      <c r="H517" s="2">
        <f t="shared" si="71"/>
        <v>552</v>
      </c>
      <c r="I517" s="2">
        <f t="shared" si="71"/>
        <v>134</v>
      </c>
      <c r="J517" s="2">
        <f t="shared" si="71"/>
        <v>17533</v>
      </c>
      <c r="N517" s="2">
        <f t="shared" si="54"/>
        <v>2001</v>
      </c>
      <c r="P517" s="20">
        <f t="shared" ref="P517:U517" si="72">AVERAGE(P318:P329)</f>
        <v>12797.583333333334</v>
      </c>
      <c r="Q517" s="20">
        <f t="shared" si="72"/>
        <v>11028.666666666666</v>
      </c>
      <c r="R517" s="20">
        <f t="shared" si="72"/>
        <v>1530.9166666666667</v>
      </c>
      <c r="S517" s="20">
        <f t="shared" si="72"/>
        <v>4</v>
      </c>
      <c r="T517" s="20">
        <f t="shared" si="72"/>
        <v>16.5</v>
      </c>
      <c r="U517" s="20">
        <f t="shared" si="72"/>
        <v>217.5</v>
      </c>
    </row>
    <row r="518" spans="1:21">
      <c r="A518" s="2">
        <f t="shared" ref="A518:A529" si="73">(A517+1)</f>
        <v>2002</v>
      </c>
      <c r="C518" s="2">
        <f t="shared" ref="C518:J518" si="74">SUM(C330:C341)</f>
        <v>221502</v>
      </c>
      <c r="D518" s="2">
        <f t="shared" si="74"/>
        <v>116521</v>
      </c>
      <c r="E518" s="2">
        <f t="shared" si="74"/>
        <v>86087</v>
      </c>
      <c r="F518" s="2">
        <f t="shared" si="74"/>
        <v>528</v>
      </c>
      <c r="G518" s="2">
        <f t="shared" si="74"/>
        <v>0</v>
      </c>
      <c r="H518" s="2">
        <f t="shared" si="74"/>
        <v>528</v>
      </c>
      <c r="I518" s="2">
        <f t="shared" si="74"/>
        <v>104</v>
      </c>
      <c r="J518" s="2">
        <f t="shared" si="74"/>
        <v>18262</v>
      </c>
      <c r="N518" s="2">
        <f t="shared" si="54"/>
        <v>2002</v>
      </c>
      <c r="P518" s="20">
        <f t="shared" ref="P518:U518" si="75">AVERAGE(P330:P341)</f>
        <v>12935.416666666666</v>
      </c>
      <c r="Q518" s="20">
        <f t="shared" si="75"/>
        <v>11154.583333333334</v>
      </c>
      <c r="R518" s="20">
        <f t="shared" si="75"/>
        <v>1548.3333333333333</v>
      </c>
      <c r="S518" s="20">
        <f t="shared" si="75"/>
        <v>4</v>
      </c>
      <c r="T518" s="20">
        <f t="shared" si="75"/>
        <v>15</v>
      </c>
      <c r="U518" s="20">
        <f t="shared" si="75"/>
        <v>213.5</v>
      </c>
    </row>
    <row r="519" spans="1:21">
      <c r="A519" s="2">
        <f t="shared" si="73"/>
        <v>2003</v>
      </c>
      <c r="C519" s="2">
        <f t="shared" ref="C519:J519" si="76">SUM(C342:C353)</f>
        <v>227186</v>
      </c>
      <c r="D519" s="2">
        <f t="shared" si="76"/>
        <v>121338</v>
      </c>
      <c r="E519" s="2">
        <f t="shared" si="76"/>
        <v>86029</v>
      </c>
      <c r="F519" s="2">
        <f t="shared" si="76"/>
        <v>593</v>
      </c>
      <c r="G519" s="2">
        <f t="shared" si="76"/>
        <v>0</v>
      </c>
      <c r="H519" s="2">
        <f t="shared" si="76"/>
        <v>593</v>
      </c>
      <c r="I519" s="2">
        <f t="shared" si="76"/>
        <v>96</v>
      </c>
      <c r="J519" s="2">
        <f t="shared" si="76"/>
        <v>19130</v>
      </c>
      <c r="N519" s="2">
        <f t="shared" ref="N519:N529" si="77">(N518+1)</f>
        <v>2003</v>
      </c>
      <c r="P519" s="20">
        <f t="shared" ref="P519:U519" si="78">AVERAGE(P342:P353)</f>
        <v>13097.916666666666</v>
      </c>
      <c r="Q519" s="20">
        <f t="shared" si="78"/>
        <v>11316.166666666666</v>
      </c>
      <c r="R519" s="20">
        <f t="shared" si="78"/>
        <v>1548.75</v>
      </c>
      <c r="S519" s="20">
        <f t="shared" si="78"/>
        <v>5.25</v>
      </c>
      <c r="T519" s="20">
        <f t="shared" si="78"/>
        <v>15</v>
      </c>
      <c r="U519" s="20">
        <f t="shared" si="78"/>
        <v>212.75</v>
      </c>
    </row>
    <row r="520" spans="1:21">
      <c r="A520" s="2">
        <f t="shared" si="73"/>
        <v>2004</v>
      </c>
      <c r="C520" s="2">
        <f t="shared" ref="C520:J520" si="79">SUM(C354:C365)</f>
        <v>220047</v>
      </c>
      <c r="D520" s="2">
        <f t="shared" si="79"/>
        <v>116148</v>
      </c>
      <c r="E520" s="2">
        <f t="shared" si="79"/>
        <v>84492</v>
      </c>
      <c r="F520" s="2">
        <f t="shared" si="79"/>
        <v>494</v>
      </c>
      <c r="G520" s="2">
        <f t="shared" si="79"/>
        <v>0</v>
      </c>
      <c r="H520" s="2">
        <f t="shared" si="79"/>
        <v>494</v>
      </c>
      <c r="I520" s="2">
        <f t="shared" si="79"/>
        <v>96</v>
      </c>
      <c r="J520" s="2">
        <f t="shared" si="79"/>
        <v>18817</v>
      </c>
      <c r="N520" s="2">
        <f t="shared" si="77"/>
        <v>2004</v>
      </c>
      <c r="P520" s="20">
        <f t="shared" ref="P520:U520" si="80">AVERAGE(P354:P365)</f>
        <v>13261.75</v>
      </c>
      <c r="Q520" s="20">
        <f t="shared" si="80"/>
        <v>11452.666666666666</v>
      </c>
      <c r="R520" s="20">
        <f t="shared" si="80"/>
        <v>1573.1666666666667</v>
      </c>
      <c r="S520" s="20">
        <f t="shared" si="80"/>
        <v>5</v>
      </c>
      <c r="T520" s="20">
        <f t="shared" si="80"/>
        <v>15</v>
      </c>
      <c r="U520" s="20">
        <f t="shared" si="80"/>
        <v>215.91666666666666</v>
      </c>
    </row>
    <row r="521" spans="1:21">
      <c r="A521" s="2">
        <f t="shared" si="73"/>
        <v>2005</v>
      </c>
      <c r="C521" s="2">
        <f t="shared" ref="C521:J521" si="81">SUM(C366:C377)</f>
        <v>229693</v>
      </c>
      <c r="D521" s="2">
        <f t="shared" si="81"/>
        <v>122536</v>
      </c>
      <c r="E521" s="2">
        <f t="shared" si="81"/>
        <v>86659</v>
      </c>
      <c r="F521" s="2">
        <f t="shared" si="81"/>
        <v>467</v>
      </c>
      <c r="G521" s="2">
        <f t="shared" si="81"/>
        <v>0</v>
      </c>
      <c r="H521" s="2">
        <f t="shared" si="81"/>
        <v>467</v>
      </c>
      <c r="I521" s="2">
        <f t="shared" si="81"/>
        <v>96</v>
      </c>
      <c r="J521" s="2">
        <f t="shared" si="81"/>
        <v>19935</v>
      </c>
      <c r="N521" s="2">
        <f t="shared" si="77"/>
        <v>2005</v>
      </c>
      <c r="P521" s="20">
        <f t="shared" ref="P521:U521" si="82">AVERAGE(P366:P377)</f>
        <v>13332</v>
      </c>
      <c r="Q521" s="20">
        <f t="shared" si="82"/>
        <v>11515</v>
      </c>
      <c r="R521" s="20">
        <f t="shared" si="82"/>
        <v>1566.5833333333333</v>
      </c>
      <c r="S521" s="20">
        <f t="shared" si="82"/>
        <v>4.833333333333333</v>
      </c>
      <c r="T521" s="20">
        <f t="shared" si="82"/>
        <v>15</v>
      </c>
      <c r="U521" s="20">
        <f t="shared" si="82"/>
        <v>230.58333333333334</v>
      </c>
    </row>
    <row r="522" spans="1:21">
      <c r="A522" s="2">
        <f t="shared" si="73"/>
        <v>2006</v>
      </c>
      <c r="C522" s="2">
        <f t="shared" ref="C522:J522" si="83">SUM(C378:C389)</f>
        <v>266081</v>
      </c>
      <c r="D522" s="2">
        <f t="shared" si="83"/>
        <v>130474</v>
      </c>
      <c r="E522" s="2">
        <f t="shared" si="83"/>
        <v>103486</v>
      </c>
      <c r="F522" s="2">
        <f t="shared" si="83"/>
        <v>4108</v>
      </c>
      <c r="G522" s="2">
        <f t="shared" si="83"/>
        <v>0</v>
      </c>
      <c r="H522" s="2">
        <f t="shared" si="83"/>
        <v>4108</v>
      </c>
      <c r="I522" s="2">
        <f t="shared" si="83"/>
        <v>96</v>
      </c>
      <c r="J522" s="2">
        <f t="shared" si="83"/>
        <v>27917</v>
      </c>
      <c r="N522" s="2">
        <f t="shared" si="77"/>
        <v>2006</v>
      </c>
      <c r="P522" s="20">
        <f t="shared" ref="P522:U522" si="84">AVERAGE(P378:P389)</f>
        <v>13980.166666666666</v>
      </c>
      <c r="Q522" s="20">
        <f t="shared" si="84"/>
        <v>11990.5</v>
      </c>
      <c r="R522" s="20">
        <f t="shared" si="84"/>
        <v>1704.6666666666667</v>
      </c>
      <c r="S522" s="20">
        <f t="shared" si="84"/>
        <v>5.083333333333333</v>
      </c>
      <c r="T522" s="20">
        <f t="shared" si="84"/>
        <v>15</v>
      </c>
      <c r="U522" s="20">
        <f t="shared" si="84"/>
        <v>264.91666666666669</v>
      </c>
    </row>
    <row r="523" spans="1:21">
      <c r="A523" s="2">
        <f t="shared" si="73"/>
        <v>2007</v>
      </c>
      <c r="C523" s="2">
        <f t="shared" ref="C523:J523" si="85">SUM(C390:C401)</f>
        <v>259165</v>
      </c>
      <c r="D523" s="2">
        <f t="shared" si="85"/>
        <v>124494</v>
      </c>
      <c r="E523" s="2">
        <f t="shared" si="85"/>
        <v>101321</v>
      </c>
      <c r="F523" s="2">
        <f t="shared" si="85"/>
        <v>6501</v>
      </c>
      <c r="G523" s="2">
        <f t="shared" si="85"/>
        <v>0</v>
      </c>
      <c r="H523" s="2">
        <f t="shared" si="85"/>
        <v>6501</v>
      </c>
      <c r="I523" s="2">
        <f t="shared" si="85"/>
        <v>96</v>
      </c>
      <c r="J523" s="2">
        <f t="shared" si="85"/>
        <v>26753</v>
      </c>
      <c r="N523" s="2">
        <f t="shared" si="77"/>
        <v>2007</v>
      </c>
      <c r="P523" s="20">
        <f t="shared" ref="P523:U523" si="86">AVERAGE(P390:P401)</f>
        <v>14396.416666666666</v>
      </c>
      <c r="Q523" s="20">
        <f t="shared" si="86"/>
        <v>12319.666666666666</v>
      </c>
      <c r="R523" s="20">
        <f t="shared" si="86"/>
        <v>1759.8333333333333</v>
      </c>
      <c r="S523" s="20">
        <f t="shared" si="86"/>
        <v>6.5</v>
      </c>
      <c r="T523" s="20">
        <f t="shared" si="86"/>
        <v>15</v>
      </c>
      <c r="U523" s="20">
        <f t="shared" si="86"/>
        <v>295.41666666666669</v>
      </c>
    </row>
    <row r="524" spans="1:21">
      <c r="A524" s="2">
        <f t="shared" si="73"/>
        <v>2008</v>
      </c>
      <c r="C524" s="2">
        <f t="shared" ref="C524:J524" si="87">SUM(C402:C413)</f>
        <v>252170</v>
      </c>
      <c r="D524" s="2">
        <f t="shared" si="87"/>
        <v>119207</v>
      </c>
      <c r="E524" s="2">
        <f t="shared" si="87"/>
        <v>102816</v>
      </c>
      <c r="F524" s="2">
        <f t="shared" si="87"/>
        <v>4159</v>
      </c>
      <c r="G524" s="2">
        <f t="shared" si="87"/>
        <v>0</v>
      </c>
      <c r="H524" s="2">
        <f t="shared" si="87"/>
        <v>4159</v>
      </c>
      <c r="I524" s="2">
        <f t="shared" si="87"/>
        <v>175</v>
      </c>
      <c r="J524" s="2">
        <f t="shared" si="87"/>
        <v>25813</v>
      </c>
      <c r="N524" s="2">
        <f t="shared" si="77"/>
        <v>2008</v>
      </c>
      <c r="P524" s="20">
        <f t="shared" ref="P524:U524" si="88">AVERAGE(P402:P413)</f>
        <v>14303.833333333334</v>
      </c>
      <c r="Q524" s="20">
        <f t="shared" si="88"/>
        <v>12237.833333333334</v>
      </c>
      <c r="R524" s="20">
        <f t="shared" si="88"/>
        <v>1732.3333333333333</v>
      </c>
      <c r="S524" s="20">
        <f t="shared" si="88"/>
        <v>7</v>
      </c>
      <c r="T524" s="20">
        <f t="shared" si="88"/>
        <v>15.25</v>
      </c>
      <c r="U524" s="20">
        <f t="shared" si="88"/>
        <v>311.41666666666669</v>
      </c>
    </row>
    <row r="525" spans="1:21">
      <c r="A525" s="2">
        <f t="shared" si="73"/>
        <v>2009</v>
      </c>
      <c r="C525" s="2">
        <f>SUM(C414:C425)</f>
        <v>251342</v>
      </c>
      <c r="D525" s="2">
        <f t="shared" ref="D525:J525" si="89">SUM(D414:D425)</f>
        <v>120916</v>
      </c>
      <c r="E525" s="2">
        <f t="shared" si="89"/>
        <v>101227</v>
      </c>
      <c r="F525" s="2">
        <f t="shared" si="89"/>
        <v>3579</v>
      </c>
      <c r="G525" s="2">
        <f t="shared" si="89"/>
        <v>0</v>
      </c>
      <c r="H525" s="2">
        <f t="shared" si="89"/>
        <v>3579</v>
      </c>
      <c r="I525" s="2">
        <f t="shared" si="89"/>
        <v>195</v>
      </c>
      <c r="J525" s="2">
        <f t="shared" si="89"/>
        <v>25425</v>
      </c>
      <c r="N525" s="2">
        <f t="shared" si="77"/>
        <v>2009</v>
      </c>
      <c r="P525" s="20">
        <f t="shared" ref="P525:U525" si="90">AVERAGE(P414:P425)</f>
        <v>14097.75</v>
      </c>
      <c r="Q525" s="20">
        <f t="shared" si="90"/>
        <v>12066.166666666666</v>
      </c>
      <c r="R525" s="20">
        <f t="shared" si="90"/>
        <v>1690.25</v>
      </c>
      <c r="S525" s="20">
        <f t="shared" si="90"/>
        <v>7</v>
      </c>
      <c r="T525" s="20">
        <f t="shared" si="90"/>
        <v>15</v>
      </c>
      <c r="U525" s="20">
        <f t="shared" si="90"/>
        <v>319.33333333333331</v>
      </c>
    </row>
    <row r="526" spans="1:21">
      <c r="A526" s="2">
        <f t="shared" si="73"/>
        <v>2010</v>
      </c>
      <c r="C526" s="2">
        <f>SUM(C426:C437)</f>
        <v>260213</v>
      </c>
      <c r="D526" s="2">
        <f t="shared" ref="D526:J526" si="91">SUM(D426:D437)</f>
        <v>129499</v>
      </c>
      <c r="E526" s="2">
        <f t="shared" si="91"/>
        <v>100346</v>
      </c>
      <c r="F526" s="2">
        <f t="shared" si="91"/>
        <v>5158</v>
      </c>
      <c r="G526" s="2">
        <f t="shared" si="91"/>
        <v>0</v>
      </c>
      <c r="H526" s="2">
        <f t="shared" si="91"/>
        <v>5158</v>
      </c>
      <c r="I526" s="2">
        <f t="shared" si="91"/>
        <v>211</v>
      </c>
      <c r="J526" s="2">
        <f t="shared" si="91"/>
        <v>24999</v>
      </c>
      <c r="N526" s="2">
        <f t="shared" si="77"/>
        <v>2010</v>
      </c>
      <c r="P526" s="20">
        <f t="shared" ref="P526:U526" si="92">AVERAGE(P426:P437)</f>
        <v>14106.5</v>
      </c>
      <c r="Q526" s="20">
        <f t="shared" si="92"/>
        <v>12073.75</v>
      </c>
      <c r="R526" s="20">
        <f t="shared" si="92"/>
        <v>1699.3333333333333</v>
      </c>
      <c r="S526" s="20">
        <f t="shared" si="92"/>
        <v>6.25</v>
      </c>
      <c r="T526" s="20">
        <f t="shared" si="92"/>
        <v>15</v>
      </c>
      <c r="U526" s="20">
        <f t="shared" si="92"/>
        <v>312.16666666666669</v>
      </c>
    </row>
    <row r="527" spans="1:21">
      <c r="A527" s="2">
        <f t="shared" si="73"/>
        <v>2011</v>
      </c>
      <c r="C527" s="2">
        <f>SUM(C438:C449)</f>
        <v>247651</v>
      </c>
      <c r="D527" s="2">
        <f t="shared" ref="D527:J527" si="93">SUM(D438:D449)</f>
        <v>118772</v>
      </c>
      <c r="E527" s="2">
        <f t="shared" si="93"/>
        <v>98932</v>
      </c>
      <c r="F527" s="2">
        <f t="shared" si="93"/>
        <v>7350</v>
      </c>
      <c r="G527" s="2">
        <f t="shared" si="93"/>
        <v>0</v>
      </c>
      <c r="H527" s="2">
        <f t="shared" si="93"/>
        <v>7350</v>
      </c>
      <c r="I527" s="2">
        <f t="shared" si="93"/>
        <v>209</v>
      </c>
      <c r="J527" s="2">
        <f t="shared" si="93"/>
        <v>22388</v>
      </c>
      <c r="N527" s="2">
        <f t="shared" si="77"/>
        <v>2011</v>
      </c>
      <c r="P527" s="20">
        <f t="shared" ref="P527:U527" si="94">AVERAGE(P438:P449)</f>
        <v>14080.333333333334</v>
      </c>
      <c r="Q527" s="20">
        <f t="shared" si="94"/>
        <v>12059</v>
      </c>
      <c r="R527" s="20">
        <f t="shared" si="94"/>
        <v>1689.9166666666667</v>
      </c>
      <c r="S527" s="20">
        <f t="shared" si="94"/>
        <v>6.416666666666667</v>
      </c>
      <c r="T527" s="20">
        <f t="shared" si="94"/>
        <v>15</v>
      </c>
      <c r="U527" s="20">
        <f t="shared" si="94"/>
        <v>310</v>
      </c>
    </row>
    <row r="528" spans="1:21">
      <c r="A528" s="2">
        <f t="shared" si="73"/>
        <v>2012</v>
      </c>
      <c r="C528" s="2">
        <f>SUM(C450:C461)</f>
        <v>236312</v>
      </c>
      <c r="D528" s="2">
        <f t="shared" ref="D528:J528" si="95">SUM(D450:D461)</f>
        <v>110551</v>
      </c>
      <c r="E528" s="2">
        <f t="shared" si="95"/>
        <v>97305</v>
      </c>
      <c r="F528" s="2">
        <f t="shared" si="95"/>
        <v>6345</v>
      </c>
      <c r="G528" s="2">
        <f t="shared" si="95"/>
        <v>0</v>
      </c>
      <c r="H528" s="2">
        <f t="shared" si="95"/>
        <v>6345</v>
      </c>
      <c r="I528" s="2">
        <f t="shared" si="95"/>
        <v>187</v>
      </c>
      <c r="J528" s="2">
        <f t="shared" si="95"/>
        <v>21924</v>
      </c>
      <c r="N528" s="2">
        <f t="shared" si="77"/>
        <v>2012</v>
      </c>
      <c r="P528" s="20">
        <f t="shared" ref="P528:U528" si="96">AVERAGE(P450:P461)</f>
        <v>14066.25</v>
      </c>
      <c r="Q528" s="20">
        <f t="shared" si="96"/>
        <v>12051.583333333334</v>
      </c>
      <c r="R528" s="20">
        <f t="shared" si="96"/>
        <v>1680.25</v>
      </c>
      <c r="S528" s="20">
        <f t="shared" si="96"/>
        <v>6</v>
      </c>
      <c r="T528" s="20">
        <f t="shared" si="96"/>
        <v>15</v>
      </c>
      <c r="U528" s="20">
        <f t="shared" si="96"/>
        <v>313.41666666666669</v>
      </c>
    </row>
    <row r="529" spans="1:21">
      <c r="A529" s="2">
        <f t="shared" si="73"/>
        <v>2013</v>
      </c>
      <c r="C529" s="2">
        <f>SUM(C462:C473)</f>
        <v>232133</v>
      </c>
      <c r="D529" s="2">
        <f t="shared" ref="D529:J529" si="97">SUM(D462:D473)</f>
        <v>110446</v>
      </c>
      <c r="E529" s="2">
        <f t="shared" si="97"/>
        <v>94370</v>
      </c>
      <c r="F529" s="2">
        <f t="shared" si="97"/>
        <v>5765</v>
      </c>
      <c r="G529" s="2">
        <f t="shared" si="97"/>
        <v>0</v>
      </c>
      <c r="H529" s="2">
        <f t="shared" si="97"/>
        <v>5765</v>
      </c>
      <c r="I529" s="2">
        <f t="shared" si="97"/>
        <v>133</v>
      </c>
      <c r="J529" s="2">
        <f t="shared" si="97"/>
        <v>21419</v>
      </c>
      <c r="N529" s="2">
        <f t="shared" si="77"/>
        <v>2013</v>
      </c>
      <c r="P529" s="20">
        <f t="shared" ref="P529:U529" si="98">AVERAGE(P462:P473)</f>
        <v>14068.75</v>
      </c>
      <c r="Q529" s="20">
        <f t="shared" si="98"/>
        <v>12052</v>
      </c>
      <c r="R529" s="20">
        <f t="shared" si="98"/>
        <v>1685.75</v>
      </c>
      <c r="S529" s="20">
        <f t="shared" si="98"/>
        <v>6</v>
      </c>
      <c r="T529" s="20">
        <f t="shared" si="98"/>
        <v>13.5</v>
      </c>
      <c r="U529" s="20">
        <f t="shared" si="98"/>
        <v>311.5</v>
      </c>
    </row>
  </sheetData>
  <phoneticPr fontId="0" type="noConversion"/>
  <printOptions horizontalCentered="1" verticalCentered="1"/>
  <pageMargins left="0.5" right="0.5" top="0.5" bottom="0.55000000000000004" header="0.5" footer="0.5"/>
  <pageSetup orientation="portrait" r:id="rId1"/>
  <headerFooter alignWithMargins="0">
    <oddFooter>&amp;L&amp;D    BUSINESS PLANNING&amp;R14LGBRA-NRGPOD1-6-DOC 36
14BGBRA-STAFFROG1-19A-DOC 36</oddFooter>
  </headerFooter>
  <ignoredErrors>
    <ignoredError sqref="U338:U35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55"/>
  <sheetViews>
    <sheetView zoomScale="75" workbookViewId="0">
      <pane xSplit="2" ySplit="5" topLeftCell="C433" activePane="bottomRight" state="frozen"/>
      <selection activeCell="X47" sqref="X47"/>
      <selection pane="topRight" activeCell="X47" sqref="X47"/>
      <selection pane="bottomLeft" activeCell="X47" sqref="X47"/>
      <selection pane="bottomRight" activeCell="X47" sqref="X47"/>
    </sheetView>
  </sheetViews>
  <sheetFormatPr defaultColWidth="8.88671875" defaultRowHeight="12.75"/>
  <cols>
    <col min="1" max="1" width="6.21875" style="2" customWidth="1"/>
    <col min="2" max="2" width="4.109375" style="2" customWidth="1"/>
    <col min="3" max="5" width="7.44140625" style="2" bestFit="1" customWidth="1"/>
    <col min="6" max="7" width="6.6640625" style="2" bestFit="1" customWidth="1"/>
    <col min="8" max="8" width="8.109375" style="2" bestFit="1" customWidth="1"/>
    <col min="9" max="12" width="6.6640625" style="2" bestFit="1" customWidth="1"/>
    <col min="13" max="20" width="3.109375" style="2" customWidth="1"/>
    <col min="21" max="22" width="6.33203125" style="2" customWidth="1"/>
    <col min="23" max="23" width="8" style="2" bestFit="1" customWidth="1"/>
    <col min="24" max="24" width="7.109375" style="2" bestFit="1" customWidth="1"/>
    <col min="25" max="25" width="6.77734375" style="2" bestFit="1" customWidth="1"/>
    <col min="26" max="26" width="5.109375" style="2" customWidth="1"/>
    <col min="27" max="27" width="5.6640625" style="2" bestFit="1" customWidth="1"/>
    <col min="28" max="28" width="5.6640625" style="2" customWidth="1"/>
    <col min="29" max="30" width="5.5546875" style="2" bestFit="1" customWidth="1"/>
    <col min="31" max="16384" width="8.88671875" style="2"/>
  </cols>
  <sheetData>
    <row r="1" spans="1:30">
      <c r="A1" s="1" t="s">
        <v>0</v>
      </c>
      <c r="U1" s="1" t="s">
        <v>1</v>
      </c>
    </row>
    <row r="2" spans="1:30">
      <c r="A2" s="49" t="s">
        <v>31</v>
      </c>
      <c r="U2" s="49" t="s">
        <v>31</v>
      </c>
    </row>
    <row r="4" spans="1:30">
      <c r="C4" s="7" t="s">
        <v>3</v>
      </c>
      <c r="I4" s="7" t="s">
        <v>4</v>
      </c>
      <c r="J4" s="7" t="s">
        <v>5</v>
      </c>
      <c r="W4" s="7" t="s">
        <v>3</v>
      </c>
      <c r="AA4" s="7" t="s">
        <v>4</v>
      </c>
      <c r="AB4" s="7" t="s">
        <v>5</v>
      </c>
    </row>
    <row r="5" spans="1:30">
      <c r="A5" s="11" t="s">
        <v>11</v>
      </c>
      <c r="B5" s="11" t="s">
        <v>12</v>
      </c>
      <c r="C5" s="11" t="s">
        <v>9</v>
      </c>
      <c r="D5" s="11" t="s">
        <v>13</v>
      </c>
      <c r="E5" s="11" t="s">
        <v>14</v>
      </c>
      <c r="F5" s="11" t="s">
        <v>15</v>
      </c>
      <c r="G5" s="14" t="s">
        <v>16</v>
      </c>
      <c r="H5" s="14" t="s">
        <v>17</v>
      </c>
      <c r="I5" s="11" t="s">
        <v>18</v>
      </c>
      <c r="J5" s="11" t="s">
        <v>19</v>
      </c>
      <c r="K5" s="11" t="s">
        <v>20</v>
      </c>
      <c r="L5" s="11" t="s">
        <v>21</v>
      </c>
      <c r="U5" s="11" t="s">
        <v>11</v>
      </c>
      <c r="V5" s="11" t="s">
        <v>12</v>
      </c>
      <c r="W5" s="11" t="s">
        <v>9</v>
      </c>
      <c r="X5" s="11" t="s">
        <v>13</v>
      </c>
      <c r="Y5" s="11" t="s">
        <v>14</v>
      </c>
      <c r="Z5" s="11" t="s">
        <v>15</v>
      </c>
      <c r="AA5" s="11" t="s">
        <v>18</v>
      </c>
      <c r="AB5" s="11" t="s">
        <v>19</v>
      </c>
      <c r="AC5" s="11" t="s">
        <v>20</v>
      </c>
      <c r="AD5" s="11" t="s">
        <v>21</v>
      </c>
    </row>
    <row r="6" spans="1:30">
      <c r="A6" s="2">
        <v>1975</v>
      </c>
      <c r="B6" s="2">
        <v>1</v>
      </c>
      <c r="U6" s="2">
        <v>1975</v>
      </c>
      <c r="V6" s="2">
        <v>1</v>
      </c>
      <c r="X6" s="17">
        <v>561129</v>
      </c>
      <c r="Y6" s="17">
        <v>60125</v>
      </c>
      <c r="Z6" s="18">
        <v>1475</v>
      </c>
      <c r="AA6" s="18">
        <v>1492</v>
      </c>
      <c r="AB6" s="18">
        <v>129</v>
      </c>
      <c r="AC6" s="23"/>
      <c r="AD6" s="23"/>
    </row>
    <row r="7" spans="1:30">
      <c r="A7" s="2">
        <v>1975</v>
      </c>
      <c r="B7" s="2">
        <v>2</v>
      </c>
      <c r="U7" s="2">
        <v>1975</v>
      </c>
      <c r="V7" s="2">
        <v>2</v>
      </c>
      <c r="X7" s="17">
        <v>564345</v>
      </c>
      <c r="Y7" s="17">
        <v>60292</v>
      </c>
      <c r="Z7" s="18">
        <v>1468</v>
      </c>
      <c r="AA7" s="18">
        <v>1501</v>
      </c>
      <c r="AB7" s="18">
        <v>115</v>
      </c>
      <c r="AC7" s="23"/>
      <c r="AD7" s="23"/>
    </row>
    <row r="8" spans="1:30">
      <c r="A8" s="2">
        <v>1975</v>
      </c>
      <c r="B8" s="2">
        <v>3</v>
      </c>
      <c r="U8" s="2">
        <v>1975</v>
      </c>
      <c r="V8" s="2">
        <v>3</v>
      </c>
      <c r="X8" s="17">
        <v>564840</v>
      </c>
      <c r="Y8" s="17">
        <v>60283</v>
      </c>
      <c r="Z8" s="18">
        <v>1467</v>
      </c>
      <c r="AA8" s="18">
        <v>1515</v>
      </c>
      <c r="AB8" s="18">
        <v>115</v>
      </c>
      <c r="AC8" s="23"/>
      <c r="AD8" s="23"/>
    </row>
    <row r="9" spans="1:30">
      <c r="A9" s="2">
        <v>1975</v>
      </c>
      <c r="B9" s="2">
        <v>4</v>
      </c>
      <c r="U9" s="2">
        <v>1975</v>
      </c>
      <c r="V9" s="2">
        <v>4</v>
      </c>
      <c r="X9" s="17">
        <v>559986</v>
      </c>
      <c r="Y9" s="17">
        <v>60335</v>
      </c>
      <c r="Z9" s="18">
        <v>1461</v>
      </c>
      <c r="AA9" s="18">
        <v>1540</v>
      </c>
      <c r="AB9" s="18">
        <v>111</v>
      </c>
      <c r="AC9" s="23"/>
      <c r="AD9" s="23"/>
    </row>
    <row r="10" spans="1:30">
      <c r="A10" s="2">
        <v>1975</v>
      </c>
      <c r="B10" s="2">
        <v>5</v>
      </c>
      <c r="U10" s="2">
        <v>1975</v>
      </c>
      <c r="V10" s="2">
        <v>5</v>
      </c>
      <c r="X10" s="17">
        <v>551661</v>
      </c>
      <c r="Y10" s="17">
        <v>60306</v>
      </c>
      <c r="Z10" s="18">
        <v>1449</v>
      </c>
      <c r="AA10" s="18">
        <v>1551</v>
      </c>
      <c r="AB10" s="18">
        <v>111</v>
      </c>
      <c r="AC10" s="23"/>
      <c r="AD10" s="23"/>
    </row>
    <row r="11" spans="1:30">
      <c r="A11" s="2">
        <v>1975</v>
      </c>
      <c r="B11" s="2">
        <v>6</v>
      </c>
      <c r="U11" s="2">
        <v>1975</v>
      </c>
      <c r="V11" s="2">
        <v>6</v>
      </c>
      <c r="X11" s="17">
        <v>548933</v>
      </c>
      <c r="Y11" s="17">
        <v>60502</v>
      </c>
      <c r="Z11" s="18">
        <v>1453</v>
      </c>
      <c r="AA11" s="18">
        <v>1563</v>
      </c>
      <c r="AB11" s="18">
        <v>111</v>
      </c>
      <c r="AC11" s="23"/>
      <c r="AD11" s="23"/>
    </row>
    <row r="12" spans="1:30">
      <c r="A12" s="2">
        <v>1975</v>
      </c>
      <c r="B12" s="2">
        <v>7</v>
      </c>
      <c r="U12" s="2">
        <v>1975</v>
      </c>
      <c r="V12" s="2">
        <v>7</v>
      </c>
      <c r="X12" s="17">
        <v>549080</v>
      </c>
      <c r="Y12" s="17">
        <v>60557</v>
      </c>
      <c r="Z12" s="18">
        <v>1464</v>
      </c>
      <c r="AA12" s="18">
        <v>1573</v>
      </c>
      <c r="AB12" s="18">
        <v>111</v>
      </c>
      <c r="AC12" s="23"/>
      <c r="AD12" s="23"/>
    </row>
    <row r="13" spans="1:30">
      <c r="A13" s="2">
        <v>1975</v>
      </c>
      <c r="B13" s="2">
        <v>8</v>
      </c>
      <c r="U13" s="2">
        <v>1975</v>
      </c>
      <c r="V13" s="2">
        <v>8</v>
      </c>
      <c r="X13" s="17">
        <v>549626</v>
      </c>
      <c r="Y13" s="17">
        <v>60697</v>
      </c>
      <c r="Z13" s="18">
        <v>1468</v>
      </c>
      <c r="AA13" s="18">
        <v>1576</v>
      </c>
      <c r="AB13" s="18">
        <v>111</v>
      </c>
      <c r="AC13" s="23"/>
      <c r="AD13" s="23"/>
    </row>
    <row r="14" spans="1:30">
      <c r="A14" s="2">
        <v>1975</v>
      </c>
      <c r="B14" s="2">
        <v>9</v>
      </c>
      <c r="U14" s="2">
        <v>1975</v>
      </c>
      <c r="V14" s="2">
        <v>9</v>
      </c>
      <c r="X14" s="17">
        <v>551524</v>
      </c>
      <c r="Y14" s="17">
        <v>60874</v>
      </c>
      <c r="Z14" s="18">
        <v>1473</v>
      </c>
      <c r="AA14" s="18">
        <v>1579</v>
      </c>
      <c r="AB14" s="18">
        <v>111</v>
      </c>
      <c r="AC14" s="23"/>
      <c r="AD14" s="23"/>
    </row>
    <row r="15" spans="1:30">
      <c r="A15" s="2">
        <v>1975</v>
      </c>
      <c r="B15" s="2">
        <v>10</v>
      </c>
      <c r="U15" s="2">
        <v>1975</v>
      </c>
      <c r="V15" s="2">
        <v>10</v>
      </c>
      <c r="X15" s="17">
        <v>555830</v>
      </c>
      <c r="Y15" s="17">
        <v>60864</v>
      </c>
      <c r="Z15" s="18">
        <v>1473</v>
      </c>
      <c r="AA15" s="18">
        <v>1580</v>
      </c>
      <c r="AB15" s="18">
        <v>242</v>
      </c>
      <c r="AC15" s="23"/>
      <c r="AD15" s="23"/>
    </row>
    <row r="16" spans="1:30">
      <c r="A16" s="2">
        <v>1975</v>
      </c>
      <c r="B16" s="2">
        <v>11</v>
      </c>
      <c r="U16" s="2">
        <v>1975</v>
      </c>
      <c r="V16" s="2">
        <v>11</v>
      </c>
      <c r="X16" s="17">
        <v>564697</v>
      </c>
      <c r="Y16" s="17">
        <v>61070</v>
      </c>
      <c r="Z16" s="18">
        <v>1472</v>
      </c>
      <c r="AA16" s="18">
        <v>1583</v>
      </c>
      <c r="AB16" s="18">
        <v>248</v>
      </c>
      <c r="AC16" s="23"/>
      <c r="AD16" s="23"/>
    </row>
    <row r="17" spans="1:30">
      <c r="A17" s="2">
        <v>1975</v>
      </c>
      <c r="B17" s="2">
        <v>12</v>
      </c>
      <c r="U17" s="2">
        <v>1975</v>
      </c>
      <c r="V17" s="2">
        <v>12</v>
      </c>
      <c r="X17" s="17">
        <v>573070</v>
      </c>
      <c r="Y17" s="17">
        <v>61273</v>
      </c>
      <c r="Z17" s="18">
        <v>1473</v>
      </c>
      <c r="AA17" s="18">
        <v>1593</v>
      </c>
      <c r="AB17" s="18">
        <v>251</v>
      </c>
      <c r="AC17" s="23"/>
      <c r="AD17" s="23"/>
    </row>
    <row r="18" spans="1:30">
      <c r="A18" s="2">
        <v>1976</v>
      </c>
      <c r="B18" s="2">
        <v>1</v>
      </c>
      <c r="U18" s="2">
        <v>1976</v>
      </c>
      <c r="V18" s="2">
        <v>1</v>
      </c>
      <c r="X18" s="17">
        <v>579603</v>
      </c>
      <c r="Y18" s="17">
        <v>61292</v>
      </c>
      <c r="Z18" s="18">
        <v>1475</v>
      </c>
      <c r="AA18" s="18">
        <v>1602</v>
      </c>
      <c r="AB18" s="18">
        <v>253</v>
      </c>
      <c r="AC18" s="23">
        <v>107</v>
      </c>
      <c r="AD18" s="23">
        <v>19</v>
      </c>
    </row>
    <row r="19" spans="1:30">
      <c r="A19" s="2">
        <v>1976</v>
      </c>
      <c r="B19" s="2">
        <v>2</v>
      </c>
      <c r="U19" s="2">
        <v>1976</v>
      </c>
      <c r="V19" s="2">
        <v>2</v>
      </c>
      <c r="X19" s="17">
        <v>584292</v>
      </c>
      <c r="Y19" s="17">
        <v>61383</v>
      </c>
      <c r="Z19" s="18">
        <v>1477</v>
      </c>
      <c r="AA19" s="18">
        <v>1607</v>
      </c>
      <c r="AB19" s="18">
        <v>255</v>
      </c>
      <c r="AC19" s="23">
        <v>107</v>
      </c>
      <c r="AD19" s="23">
        <v>19</v>
      </c>
    </row>
    <row r="20" spans="1:30">
      <c r="A20" s="2">
        <v>1976</v>
      </c>
      <c r="B20" s="2">
        <v>3</v>
      </c>
      <c r="U20" s="2">
        <v>1976</v>
      </c>
      <c r="V20" s="2">
        <v>3</v>
      </c>
      <c r="X20" s="17">
        <v>586041</v>
      </c>
      <c r="Y20" s="17">
        <v>61577</v>
      </c>
      <c r="Z20" s="18">
        <v>1472</v>
      </c>
      <c r="AA20" s="18">
        <v>1616</v>
      </c>
      <c r="AB20" s="18">
        <v>257</v>
      </c>
      <c r="AC20" s="23">
        <v>107</v>
      </c>
      <c r="AD20" s="23">
        <v>19</v>
      </c>
    </row>
    <row r="21" spans="1:30">
      <c r="A21" s="2">
        <v>1976</v>
      </c>
      <c r="B21" s="2">
        <v>4</v>
      </c>
      <c r="U21" s="2">
        <v>1976</v>
      </c>
      <c r="V21" s="2">
        <v>4</v>
      </c>
      <c r="X21" s="17">
        <v>583523</v>
      </c>
      <c r="Y21" s="17">
        <v>62265</v>
      </c>
      <c r="Z21" s="18">
        <v>1472</v>
      </c>
      <c r="AA21" s="18">
        <v>1627</v>
      </c>
      <c r="AB21" s="18">
        <v>258</v>
      </c>
      <c r="AC21" s="23">
        <v>108</v>
      </c>
      <c r="AD21" s="23">
        <v>19</v>
      </c>
    </row>
    <row r="22" spans="1:30">
      <c r="A22" s="2">
        <v>1976</v>
      </c>
      <c r="B22" s="2">
        <v>5</v>
      </c>
      <c r="U22" s="2">
        <v>1976</v>
      </c>
      <c r="V22" s="2">
        <v>5</v>
      </c>
      <c r="X22" s="17">
        <v>571672</v>
      </c>
      <c r="Y22" s="17">
        <v>61962</v>
      </c>
      <c r="Z22" s="18">
        <v>1467</v>
      </c>
      <c r="AA22" s="18">
        <v>1634</v>
      </c>
      <c r="AB22" s="18">
        <v>259</v>
      </c>
      <c r="AC22" s="23">
        <v>109</v>
      </c>
      <c r="AD22" s="23">
        <v>19</v>
      </c>
    </row>
    <row r="23" spans="1:30">
      <c r="A23" s="2">
        <v>1976</v>
      </c>
      <c r="B23" s="2">
        <v>6</v>
      </c>
      <c r="U23" s="2">
        <v>1976</v>
      </c>
      <c r="V23" s="2">
        <v>6</v>
      </c>
      <c r="X23" s="17">
        <v>570054</v>
      </c>
      <c r="Y23" s="17">
        <v>62231</v>
      </c>
      <c r="Z23" s="18">
        <v>1462</v>
      </c>
      <c r="AA23" s="18">
        <v>1651</v>
      </c>
      <c r="AB23" s="18">
        <v>264</v>
      </c>
      <c r="AC23" s="23">
        <v>109</v>
      </c>
      <c r="AD23" s="23">
        <v>19</v>
      </c>
    </row>
    <row r="24" spans="1:30">
      <c r="A24" s="2">
        <v>1976</v>
      </c>
      <c r="B24" s="2">
        <v>7</v>
      </c>
      <c r="U24" s="2">
        <v>1976</v>
      </c>
      <c r="V24" s="2">
        <v>7</v>
      </c>
      <c r="X24" s="17">
        <v>570221</v>
      </c>
      <c r="Y24" s="17">
        <v>62320</v>
      </c>
      <c r="Z24" s="18">
        <v>1473</v>
      </c>
      <c r="AA24" s="18">
        <v>1658</v>
      </c>
      <c r="AB24" s="18">
        <v>263</v>
      </c>
      <c r="AC24" s="23">
        <v>109</v>
      </c>
      <c r="AD24" s="23">
        <v>19</v>
      </c>
    </row>
    <row r="25" spans="1:30">
      <c r="A25" s="2">
        <v>1976</v>
      </c>
      <c r="B25" s="2">
        <v>8</v>
      </c>
      <c r="U25" s="2">
        <v>1976</v>
      </c>
      <c r="V25" s="2">
        <v>8</v>
      </c>
      <c r="X25" s="17">
        <v>571319</v>
      </c>
      <c r="Y25" s="17">
        <v>62358</v>
      </c>
      <c r="Z25" s="18">
        <v>1469</v>
      </c>
      <c r="AA25" s="18">
        <v>1669</v>
      </c>
      <c r="AB25" s="18">
        <v>261</v>
      </c>
      <c r="AC25" s="23">
        <v>109</v>
      </c>
      <c r="AD25" s="23">
        <v>19</v>
      </c>
    </row>
    <row r="26" spans="1:30">
      <c r="A26" s="2">
        <v>1976</v>
      </c>
      <c r="B26" s="2">
        <v>9</v>
      </c>
      <c r="U26" s="2">
        <v>1976</v>
      </c>
      <c r="V26" s="2">
        <v>9</v>
      </c>
      <c r="X26" s="17">
        <v>573203</v>
      </c>
      <c r="Y26" s="17">
        <v>62555</v>
      </c>
      <c r="Z26" s="18">
        <v>1473</v>
      </c>
      <c r="AA26" s="18">
        <v>1673</v>
      </c>
      <c r="AB26" s="18">
        <v>261</v>
      </c>
      <c r="AC26" s="23">
        <v>109</v>
      </c>
      <c r="AD26" s="23">
        <v>19</v>
      </c>
    </row>
    <row r="27" spans="1:30">
      <c r="A27" s="2">
        <v>1976</v>
      </c>
      <c r="B27" s="2">
        <v>10</v>
      </c>
      <c r="U27" s="2">
        <v>1976</v>
      </c>
      <c r="V27" s="2">
        <v>10</v>
      </c>
      <c r="X27" s="17">
        <v>577364</v>
      </c>
      <c r="Y27" s="17">
        <v>62856</v>
      </c>
      <c r="Z27" s="18">
        <v>1489</v>
      </c>
      <c r="AA27" s="18">
        <v>1675</v>
      </c>
      <c r="AB27" s="18">
        <v>262</v>
      </c>
      <c r="AC27" s="23">
        <v>109</v>
      </c>
      <c r="AD27" s="23">
        <v>20</v>
      </c>
    </row>
    <row r="28" spans="1:30">
      <c r="A28" s="2">
        <v>1976</v>
      </c>
      <c r="B28" s="2">
        <v>11</v>
      </c>
      <c r="U28" s="2">
        <v>1976</v>
      </c>
      <c r="V28" s="2">
        <v>11</v>
      </c>
      <c r="X28" s="17">
        <v>586098</v>
      </c>
      <c r="Y28" s="17">
        <v>63136</v>
      </c>
      <c r="Z28" s="18">
        <v>1529</v>
      </c>
      <c r="AA28" s="18">
        <v>1679</v>
      </c>
      <c r="AB28" s="18">
        <v>268</v>
      </c>
      <c r="AC28" s="23">
        <v>109</v>
      </c>
      <c r="AD28" s="23">
        <v>20</v>
      </c>
    </row>
    <row r="29" spans="1:30">
      <c r="A29" s="2">
        <v>1976</v>
      </c>
      <c r="B29" s="2">
        <v>12</v>
      </c>
      <c r="U29" s="2">
        <v>1976</v>
      </c>
      <c r="V29" s="2">
        <v>12</v>
      </c>
      <c r="X29" s="17">
        <v>595139</v>
      </c>
      <c r="Y29" s="17">
        <v>63387</v>
      </c>
      <c r="Z29" s="18">
        <v>1610</v>
      </c>
      <c r="AA29" s="18">
        <v>1682</v>
      </c>
      <c r="AB29" s="18">
        <v>268</v>
      </c>
      <c r="AC29" s="23">
        <v>109</v>
      </c>
      <c r="AD29" s="23">
        <v>20</v>
      </c>
    </row>
    <row r="30" spans="1:30">
      <c r="A30" s="2">
        <v>1977</v>
      </c>
      <c r="B30" s="2">
        <v>1</v>
      </c>
      <c r="U30" s="2">
        <v>1977</v>
      </c>
      <c r="V30" s="2">
        <v>1</v>
      </c>
      <c r="X30" s="17">
        <v>601867</v>
      </c>
      <c r="Y30" s="17">
        <v>63525</v>
      </c>
      <c r="Z30" s="18">
        <v>1620</v>
      </c>
      <c r="AA30" s="18">
        <v>1683</v>
      </c>
      <c r="AB30" s="18">
        <v>266</v>
      </c>
      <c r="AC30" s="23">
        <v>109</v>
      </c>
      <c r="AD30" s="23">
        <v>20</v>
      </c>
    </row>
    <row r="31" spans="1:30">
      <c r="A31" s="2">
        <v>1977</v>
      </c>
      <c r="B31" s="2">
        <v>2</v>
      </c>
      <c r="U31" s="2">
        <v>1977</v>
      </c>
      <c r="V31" s="2">
        <v>2</v>
      </c>
      <c r="X31" s="17">
        <v>605993</v>
      </c>
      <c r="Y31" s="17">
        <v>63700</v>
      </c>
      <c r="Z31" s="18">
        <v>1638</v>
      </c>
      <c r="AA31" s="18">
        <v>1688</v>
      </c>
      <c r="AB31" s="18">
        <v>279</v>
      </c>
      <c r="AC31" s="23">
        <v>109</v>
      </c>
      <c r="AD31" s="23">
        <v>21</v>
      </c>
    </row>
    <row r="32" spans="1:30">
      <c r="A32" s="2">
        <v>1977</v>
      </c>
      <c r="B32" s="2">
        <v>3</v>
      </c>
      <c r="U32" s="2">
        <v>1977</v>
      </c>
      <c r="V32" s="2">
        <v>3</v>
      </c>
      <c r="X32" s="17">
        <v>607598</v>
      </c>
      <c r="Y32" s="17">
        <v>63890</v>
      </c>
      <c r="Z32" s="18">
        <v>1631</v>
      </c>
      <c r="AA32" s="18">
        <v>1679</v>
      </c>
      <c r="AB32" s="18">
        <v>281</v>
      </c>
      <c r="AC32" s="23">
        <v>109</v>
      </c>
      <c r="AD32" s="23">
        <v>21</v>
      </c>
    </row>
    <row r="33" spans="1:30">
      <c r="A33" s="2">
        <v>1977</v>
      </c>
      <c r="B33" s="2">
        <v>4</v>
      </c>
      <c r="U33" s="2">
        <v>1977</v>
      </c>
      <c r="V33" s="2">
        <v>4</v>
      </c>
      <c r="X33" s="17">
        <v>602492</v>
      </c>
      <c r="Y33" s="17">
        <v>64271</v>
      </c>
      <c r="Z33" s="18">
        <v>1625</v>
      </c>
      <c r="AA33" s="18">
        <v>1684</v>
      </c>
      <c r="AB33" s="18">
        <v>283</v>
      </c>
      <c r="AC33" s="23">
        <v>124</v>
      </c>
      <c r="AD33" s="23">
        <v>30</v>
      </c>
    </row>
    <row r="34" spans="1:30">
      <c r="A34" s="2">
        <v>1977</v>
      </c>
      <c r="B34" s="2">
        <v>5</v>
      </c>
      <c r="U34" s="2">
        <v>1977</v>
      </c>
      <c r="V34" s="2">
        <v>5</v>
      </c>
      <c r="X34" s="17">
        <v>593672</v>
      </c>
      <c r="Y34" s="17">
        <v>64413</v>
      </c>
      <c r="Z34" s="18">
        <v>1638</v>
      </c>
      <c r="AA34" s="18">
        <v>1688</v>
      </c>
      <c r="AB34" s="18">
        <v>287</v>
      </c>
      <c r="AC34" s="23">
        <v>124</v>
      </c>
      <c r="AD34" s="23">
        <v>31</v>
      </c>
    </row>
    <row r="35" spans="1:30">
      <c r="A35" s="2">
        <v>1977</v>
      </c>
      <c r="B35" s="2">
        <v>6</v>
      </c>
      <c r="U35" s="2">
        <v>1977</v>
      </c>
      <c r="V35" s="2">
        <v>6</v>
      </c>
      <c r="X35" s="17">
        <v>590852</v>
      </c>
      <c r="Y35" s="17">
        <v>64629</v>
      </c>
      <c r="Z35" s="18">
        <v>1641</v>
      </c>
      <c r="AA35" s="18">
        <v>1692</v>
      </c>
      <c r="AB35" s="18">
        <v>288</v>
      </c>
      <c r="AC35" s="23">
        <v>112</v>
      </c>
      <c r="AD35" s="23">
        <v>30</v>
      </c>
    </row>
    <row r="36" spans="1:30">
      <c r="A36" s="2">
        <v>1977</v>
      </c>
      <c r="B36" s="2">
        <v>7</v>
      </c>
      <c r="U36" s="2">
        <v>1977</v>
      </c>
      <c r="V36" s="2">
        <v>7</v>
      </c>
      <c r="X36" s="17">
        <v>591296</v>
      </c>
      <c r="Y36" s="17">
        <v>64761</v>
      </c>
      <c r="Z36" s="18">
        <v>1652</v>
      </c>
      <c r="AA36" s="18">
        <v>1695</v>
      </c>
      <c r="AB36" s="18">
        <v>287</v>
      </c>
      <c r="AC36" s="23">
        <v>112</v>
      </c>
      <c r="AD36" s="23">
        <v>30</v>
      </c>
    </row>
    <row r="37" spans="1:30">
      <c r="A37" s="2">
        <v>1977</v>
      </c>
      <c r="B37" s="2">
        <v>8</v>
      </c>
      <c r="U37" s="2">
        <v>1977</v>
      </c>
      <c r="V37" s="2">
        <v>8</v>
      </c>
      <c r="X37" s="17">
        <v>592289</v>
      </c>
      <c r="Y37" s="17">
        <v>64924</v>
      </c>
      <c r="Z37" s="18">
        <v>1666</v>
      </c>
      <c r="AA37" s="18">
        <v>1695</v>
      </c>
      <c r="AB37" s="18">
        <v>285</v>
      </c>
      <c r="AC37" s="23">
        <v>111</v>
      </c>
      <c r="AD37" s="23">
        <v>30</v>
      </c>
    </row>
    <row r="38" spans="1:30">
      <c r="A38" s="2">
        <v>1977</v>
      </c>
      <c r="B38" s="2">
        <v>9</v>
      </c>
      <c r="U38" s="2">
        <v>1977</v>
      </c>
      <c r="V38" s="2">
        <v>9</v>
      </c>
      <c r="X38" s="17">
        <v>595327</v>
      </c>
      <c r="Y38" s="17">
        <v>65267</v>
      </c>
      <c r="Z38" s="18">
        <v>1668</v>
      </c>
      <c r="AA38" s="18">
        <v>1696</v>
      </c>
      <c r="AB38" s="18">
        <v>284</v>
      </c>
      <c r="AC38" s="23">
        <v>111</v>
      </c>
      <c r="AD38" s="23">
        <v>30</v>
      </c>
    </row>
    <row r="39" spans="1:30">
      <c r="A39" s="2">
        <v>1977</v>
      </c>
      <c r="B39" s="2">
        <v>10</v>
      </c>
      <c r="U39" s="2">
        <v>1977</v>
      </c>
      <c r="V39" s="2">
        <v>10</v>
      </c>
      <c r="X39" s="17">
        <v>600358</v>
      </c>
      <c r="Y39" s="17">
        <v>65600</v>
      </c>
      <c r="Z39" s="18">
        <v>1675</v>
      </c>
      <c r="AA39" s="18">
        <v>1695</v>
      </c>
      <c r="AB39" s="18">
        <v>285</v>
      </c>
      <c r="AC39" s="23">
        <v>111</v>
      </c>
      <c r="AD39" s="23">
        <v>30</v>
      </c>
    </row>
    <row r="40" spans="1:30">
      <c r="A40" s="2">
        <v>1977</v>
      </c>
      <c r="B40" s="2">
        <v>11</v>
      </c>
      <c r="U40" s="2">
        <v>1977</v>
      </c>
      <c r="V40" s="2">
        <v>11</v>
      </c>
      <c r="X40" s="17">
        <v>610959</v>
      </c>
      <c r="Y40" s="17">
        <v>66031</v>
      </c>
      <c r="Z40" s="18">
        <v>1700</v>
      </c>
      <c r="AA40" s="18">
        <v>1700</v>
      </c>
      <c r="AB40" s="18">
        <v>285</v>
      </c>
      <c r="AC40" s="23">
        <v>111</v>
      </c>
      <c r="AD40" s="23">
        <v>29</v>
      </c>
    </row>
    <row r="41" spans="1:30">
      <c r="A41" s="2">
        <v>1977</v>
      </c>
      <c r="B41" s="2">
        <v>12</v>
      </c>
      <c r="U41" s="2">
        <v>1977</v>
      </c>
      <c r="V41" s="2">
        <v>12</v>
      </c>
      <c r="X41" s="17">
        <v>620045</v>
      </c>
      <c r="Y41" s="17">
        <v>66381</v>
      </c>
      <c r="Z41" s="18">
        <v>1705</v>
      </c>
      <c r="AA41" s="18">
        <v>1703</v>
      </c>
      <c r="AB41" s="18">
        <v>284</v>
      </c>
      <c r="AC41" s="23">
        <v>109</v>
      </c>
      <c r="AD41" s="23">
        <v>29</v>
      </c>
    </row>
    <row r="42" spans="1:30">
      <c r="A42" s="2">
        <v>1978</v>
      </c>
      <c r="B42" s="2">
        <v>1</v>
      </c>
      <c r="U42" s="2">
        <v>1978</v>
      </c>
      <c r="V42" s="2">
        <v>1</v>
      </c>
      <c r="X42" s="17">
        <v>626754</v>
      </c>
      <c r="Y42" s="17">
        <v>66462</v>
      </c>
      <c r="Z42" s="18">
        <v>1713</v>
      </c>
      <c r="AA42" s="18">
        <v>1709</v>
      </c>
      <c r="AB42" s="18">
        <v>284</v>
      </c>
      <c r="AC42" s="23">
        <v>110</v>
      </c>
      <c r="AD42" s="23">
        <v>29</v>
      </c>
    </row>
    <row r="43" spans="1:30">
      <c r="A43" s="2">
        <v>1978</v>
      </c>
      <c r="B43" s="2">
        <v>2</v>
      </c>
      <c r="U43" s="2">
        <v>1978</v>
      </c>
      <c r="V43" s="2">
        <v>2</v>
      </c>
      <c r="X43" s="17">
        <v>631272</v>
      </c>
      <c r="Y43" s="17">
        <v>66888</v>
      </c>
      <c r="Z43" s="18">
        <v>1725</v>
      </c>
      <c r="AA43" s="18">
        <v>1713</v>
      </c>
      <c r="AB43" s="18">
        <v>284</v>
      </c>
      <c r="AC43" s="23">
        <v>108</v>
      </c>
      <c r="AD43" s="23">
        <v>29</v>
      </c>
    </row>
    <row r="44" spans="1:30">
      <c r="A44" s="2">
        <v>1978</v>
      </c>
      <c r="B44" s="2">
        <v>3</v>
      </c>
      <c r="U44" s="2">
        <v>1978</v>
      </c>
      <c r="V44" s="2">
        <v>3</v>
      </c>
      <c r="X44" s="17">
        <v>632955</v>
      </c>
      <c r="Y44" s="17">
        <v>67167</v>
      </c>
      <c r="Z44" s="18">
        <v>1731</v>
      </c>
      <c r="AA44" s="18">
        <v>1719</v>
      </c>
      <c r="AB44" s="18">
        <v>285</v>
      </c>
      <c r="AC44" s="23">
        <v>110</v>
      </c>
      <c r="AD44" s="23">
        <v>29</v>
      </c>
    </row>
    <row r="45" spans="1:30">
      <c r="A45" s="2">
        <v>1978</v>
      </c>
      <c r="B45" s="2">
        <v>4</v>
      </c>
      <c r="U45" s="2">
        <v>1978</v>
      </c>
      <c r="V45" s="2">
        <v>4</v>
      </c>
      <c r="X45" s="17">
        <v>628517</v>
      </c>
      <c r="Y45" s="17">
        <v>67517</v>
      </c>
      <c r="Z45" s="18">
        <v>1744</v>
      </c>
      <c r="AA45" s="18">
        <v>1723</v>
      </c>
      <c r="AB45" s="18">
        <v>286</v>
      </c>
      <c r="AC45" s="23">
        <v>109</v>
      </c>
      <c r="AD45" s="23">
        <v>29</v>
      </c>
    </row>
    <row r="46" spans="1:30">
      <c r="A46" s="2">
        <v>1978</v>
      </c>
      <c r="B46" s="2">
        <v>5</v>
      </c>
      <c r="U46" s="2">
        <v>1978</v>
      </c>
      <c r="V46" s="2">
        <v>5</v>
      </c>
      <c r="X46" s="17">
        <v>627930</v>
      </c>
      <c r="Y46" s="17">
        <v>68214</v>
      </c>
      <c r="Z46" s="18">
        <v>1796</v>
      </c>
      <c r="AA46" s="18">
        <v>1753</v>
      </c>
      <c r="AB46" s="18">
        <v>287</v>
      </c>
      <c r="AC46" s="23">
        <v>108</v>
      </c>
      <c r="AD46" s="23">
        <v>29</v>
      </c>
    </row>
    <row r="47" spans="1:30">
      <c r="A47" s="2">
        <v>1978</v>
      </c>
      <c r="B47" s="2">
        <v>6</v>
      </c>
      <c r="U47" s="2">
        <v>1978</v>
      </c>
      <c r="V47" s="2">
        <v>6</v>
      </c>
      <c r="X47" s="17">
        <v>617538</v>
      </c>
      <c r="Y47" s="17">
        <v>67808</v>
      </c>
      <c r="Z47" s="18">
        <v>1811</v>
      </c>
      <c r="AA47" s="18">
        <v>1728</v>
      </c>
      <c r="AB47" s="18">
        <v>285</v>
      </c>
      <c r="AC47" s="23">
        <v>110</v>
      </c>
      <c r="AD47" s="23">
        <v>29</v>
      </c>
    </row>
    <row r="48" spans="1:30">
      <c r="A48" s="2">
        <v>1978</v>
      </c>
      <c r="B48" s="2">
        <v>7</v>
      </c>
      <c r="U48" s="2">
        <v>1978</v>
      </c>
      <c r="V48" s="2">
        <v>7</v>
      </c>
      <c r="X48" s="17">
        <v>607532</v>
      </c>
      <c r="Y48" s="17">
        <v>67565</v>
      </c>
      <c r="Z48" s="18">
        <v>1768</v>
      </c>
      <c r="AA48" s="18">
        <v>1713</v>
      </c>
      <c r="AB48" s="18">
        <v>285</v>
      </c>
      <c r="AC48" s="23">
        <v>111</v>
      </c>
      <c r="AD48" s="23">
        <v>29</v>
      </c>
    </row>
    <row r="49" spans="1:30">
      <c r="A49" s="2">
        <v>1978</v>
      </c>
      <c r="B49" s="2">
        <v>8</v>
      </c>
      <c r="U49" s="2">
        <v>1978</v>
      </c>
      <c r="V49" s="2">
        <v>8</v>
      </c>
      <c r="X49" s="17">
        <v>619737</v>
      </c>
      <c r="Y49" s="17">
        <v>68226</v>
      </c>
      <c r="Z49" s="18">
        <v>1812</v>
      </c>
      <c r="AA49" s="18">
        <v>1733</v>
      </c>
      <c r="AB49" s="18">
        <v>284</v>
      </c>
      <c r="AC49" s="23">
        <v>111</v>
      </c>
      <c r="AD49" s="23">
        <v>29</v>
      </c>
    </row>
    <row r="50" spans="1:30">
      <c r="A50" s="2">
        <v>1978</v>
      </c>
      <c r="B50" s="2">
        <v>9</v>
      </c>
      <c r="U50" s="2">
        <v>1978</v>
      </c>
      <c r="V50" s="2">
        <v>9</v>
      </c>
      <c r="X50" s="17">
        <v>623023</v>
      </c>
      <c r="Y50" s="17">
        <v>68487</v>
      </c>
      <c r="Z50" s="18">
        <v>1841</v>
      </c>
      <c r="AA50" s="18">
        <v>1741</v>
      </c>
      <c r="AB50" s="18">
        <v>285</v>
      </c>
      <c r="AC50" s="23">
        <v>111</v>
      </c>
      <c r="AD50" s="23">
        <v>29</v>
      </c>
    </row>
    <row r="51" spans="1:30">
      <c r="A51" s="2">
        <v>1978</v>
      </c>
      <c r="B51" s="2">
        <v>10</v>
      </c>
      <c r="U51" s="2">
        <v>1978</v>
      </c>
      <c r="V51" s="2">
        <v>10</v>
      </c>
      <c r="X51" s="17">
        <v>628656</v>
      </c>
      <c r="Y51" s="17">
        <v>68927</v>
      </c>
      <c r="Z51" s="18">
        <v>1849</v>
      </c>
      <c r="AA51" s="18">
        <v>1744</v>
      </c>
      <c r="AB51" s="18">
        <v>285</v>
      </c>
      <c r="AC51" s="23">
        <v>111</v>
      </c>
      <c r="AD51" s="23">
        <v>29</v>
      </c>
    </row>
    <row r="52" spans="1:30">
      <c r="A52" s="2">
        <v>1978</v>
      </c>
      <c r="B52" s="2">
        <v>11</v>
      </c>
      <c r="U52" s="2">
        <v>1978</v>
      </c>
      <c r="V52" s="2">
        <v>11</v>
      </c>
      <c r="X52" s="17">
        <v>639376</v>
      </c>
      <c r="Y52" s="17">
        <v>69344</v>
      </c>
      <c r="Z52" s="18">
        <v>1869</v>
      </c>
      <c r="AA52" s="18">
        <v>1756</v>
      </c>
      <c r="AB52" s="18">
        <v>299</v>
      </c>
      <c r="AC52" s="23">
        <v>108</v>
      </c>
      <c r="AD52" s="23">
        <v>29</v>
      </c>
    </row>
    <row r="53" spans="1:30">
      <c r="A53" s="2">
        <v>1978</v>
      </c>
      <c r="B53" s="2">
        <v>12</v>
      </c>
      <c r="U53" s="2">
        <v>1978</v>
      </c>
      <c r="V53" s="2">
        <v>12</v>
      </c>
      <c r="X53" s="17">
        <v>649043</v>
      </c>
      <c r="Y53" s="17">
        <v>69736</v>
      </c>
      <c r="Z53" s="18">
        <v>1885</v>
      </c>
      <c r="AA53" s="18">
        <v>1768</v>
      </c>
      <c r="AB53" s="18">
        <v>299</v>
      </c>
      <c r="AC53" s="23">
        <v>108</v>
      </c>
      <c r="AD53" s="23">
        <v>29</v>
      </c>
    </row>
    <row r="54" spans="1:30">
      <c r="A54" s="2">
        <v>1979</v>
      </c>
      <c r="B54" s="2">
        <v>1</v>
      </c>
      <c r="U54" s="2">
        <v>1979</v>
      </c>
      <c r="V54" s="2">
        <v>1</v>
      </c>
      <c r="X54" s="17">
        <v>656127</v>
      </c>
      <c r="Y54" s="17">
        <v>70051</v>
      </c>
      <c r="Z54" s="18">
        <v>1886</v>
      </c>
      <c r="AA54" s="18">
        <v>1774</v>
      </c>
      <c r="AB54" s="18">
        <v>302</v>
      </c>
      <c r="AC54" s="23">
        <v>110</v>
      </c>
      <c r="AD54" s="23">
        <v>29</v>
      </c>
    </row>
    <row r="55" spans="1:30">
      <c r="A55" s="2">
        <v>1979</v>
      </c>
      <c r="B55" s="2">
        <v>2</v>
      </c>
      <c r="U55" s="2">
        <v>1979</v>
      </c>
      <c r="V55" s="2">
        <v>2</v>
      </c>
      <c r="X55" s="17">
        <v>660773</v>
      </c>
      <c r="Y55" s="17">
        <v>70412</v>
      </c>
      <c r="Z55" s="18">
        <v>1893</v>
      </c>
      <c r="AA55" s="18">
        <v>1780</v>
      </c>
      <c r="AB55" s="18">
        <v>302</v>
      </c>
      <c r="AC55" s="23">
        <v>112</v>
      </c>
      <c r="AD55" s="23">
        <v>29</v>
      </c>
    </row>
    <row r="56" spans="1:30">
      <c r="A56" s="2">
        <v>1979</v>
      </c>
      <c r="B56" s="2">
        <v>3</v>
      </c>
      <c r="U56" s="2">
        <v>1979</v>
      </c>
      <c r="V56" s="2">
        <v>3</v>
      </c>
      <c r="X56" s="17">
        <v>662879</v>
      </c>
      <c r="Y56" s="17">
        <v>70734</v>
      </c>
      <c r="Z56" s="18">
        <v>1904</v>
      </c>
      <c r="AA56" s="18">
        <v>1789</v>
      </c>
      <c r="AB56" s="18">
        <v>302</v>
      </c>
      <c r="AC56" s="23">
        <v>112</v>
      </c>
      <c r="AD56" s="23">
        <v>29</v>
      </c>
    </row>
    <row r="57" spans="1:30">
      <c r="A57" s="2">
        <v>1979</v>
      </c>
      <c r="B57" s="2">
        <v>4</v>
      </c>
      <c r="U57" s="2">
        <v>1979</v>
      </c>
      <c r="V57" s="2">
        <v>4</v>
      </c>
      <c r="X57" s="17">
        <v>659255</v>
      </c>
      <c r="Y57" s="17">
        <v>70958</v>
      </c>
      <c r="Z57" s="18">
        <v>1919</v>
      </c>
      <c r="AA57" s="18">
        <v>1796</v>
      </c>
      <c r="AB57" s="18">
        <v>303</v>
      </c>
      <c r="AC57" s="23">
        <v>110</v>
      </c>
      <c r="AD57" s="23">
        <v>29</v>
      </c>
    </row>
    <row r="58" spans="1:30">
      <c r="A58" s="2">
        <v>1979</v>
      </c>
      <c r="B58" s="2">
        <v>5</v>
      </c>
      <c r="U58" s="2">
        <v>1979</v>
      </c>
      <c r="V58" s="2">
        <v>5</v>
      </c>
      <c r="X58" s="17">
        <v>651464</v>
      </c>
      <c r="Y58" s="17">
        <v>71200</v>
      </c>
      <c r="Z58" s="18">
        <v>1923</v>
      </c>
      <c r="AA58" s="18">
        <v>1811</v>
      </c>
      <c r="AB58" s="18">
        <v>307</v>
      </c>
      <c r="AC58" s="23">
        <v>110</v>
      </c>
      <c r="AD58" s="23">
        <v>29</v>
      </c>
    </row>
    <row r="59" spans="1:30">
      <c r="A59" s="2">
        <v>1979</v>
      </c>
      <c r="B59" s="2">
        <v>6</v>
      </c>
      <c r="U59" s="2">
        <v>1979</v>
      </c>
      <c r="V59" s="2">
        <v>6</v>
      </c>
      <c r="X59" s="17">
        <v>649804</v>
      </c>
      <c r="Y59" s="17">
        <v>71167</v>
      </c>
      <c r="Z59" s="18">
        <v>1987</v>
      </c>
      <c r="AA59" s="18">
        <v>1815</v>
      </c>
      <c r="AB59" s="18">
        <v>307</v>
      </c>
      <c r="AC59" s="23">
        <v>110</v>
      </c>
      <c r="AD59" s="23">
        <v>29</v>
      </c>
    </row>
    <row r="60" spans="1:30">
      <c r="A60" s="2">
        <v>1979</v>
      </c>
      <c r="B60" s="2">
        <v>7</v>
      </c>
      <c r="U60" s="2">
        <v>1979</v>
      </c>
      <c r="V60" s="2">
        <v>7</v>
      </c>
      <c r="X60" s="17">
        <v>650990</v>
      </c>
      <c r="Y60" s="17">
        <v>70170</v>
      </c>
      <c r="Z60" s="18">
        <v>2040</v>
      </c>
      <c r="AA60" s="18">
        <v>1792</v>
      </c>
      <c r="AB60" s="18">
        <v>1357</v>
      </c>
      <c r="AC60" s="23">
        <v>109</v>
      </c>
      <c r="AD60" s="23">
        <v>30</v>
      </c>
    </row>
    <row r="61" spans="1:30">
      <c r="A61" s="2">
        <v>1979</v>
      </c>
      <c r="B61" s="2">
        <v>8</v>
      </c>
      <c r="U61" s="2">
        <v>1979</v>
      </c>
      <c r="V61" s="2">
        <v>8</v>
      </c>
      <c r="X61" s="17">
        <v>653167</v>
      </c>
      <c r="Y61" s="17">
        <v>68633</v>
      </c>
      <c r="Z61" s="18">
        <v>2066</v>
      </c>
      <c r="AA61" s="18">
        <v>1799</v>
      </c>
      <c r="AB61" s="18">
        <v>3127</v>
      </c>
      <c r="AC61" s="23">
        <v>109</v>
      </c>
      <c r="AD61" s="23">
        <v>30</v>
      </c>
    </row>
    <row r="62" spans="1:30">
      <c r="A62" s="2">
        <v>1979</v>
      </c>
      <c r="B62" s="2">
        <v>9</v>
      </c>
      <c r="U62" s="2">
        <v>1979</v>
      </c>
      <c r="V62" s="2">
        <v>9</v>
      </c>
      <c r="X62" s="17">
        <v>656814</v>
      </c>
      <c r="Y62" s="17">
        <v>68857</v>
      </c>
      <c r="Z62" s="18">
        <v>2068</v>
      </c>
      <c r="AA62" s="18">
        <v>1805</v>
      </c>
      <c r="AB62" s="18">
        <v>3188</v>
      </c>
      <c r="AC62" s="23">
        <v>109</v>
      </c>
      <c r="AD62" s="23">
        <v>30</v>
      </c>
    </row>
    <row r="63" spans="1:30">
      <c r="A63" s="2">
        <v>1979</v>
      </c>
      <c r="B63" s="2">
        <v>10</v>
      </c>
      <c r="U63" s="2">
        <v>1979</v>
      </c>
      <c r="V63" s="2">
        <v>10</v>
      </c>
      <c r="X63" s="17">
        <v>662190</v>
      </c>
      <c r="Y63" s="17">
        <v>69206</v>
      </c>
      <c r="Z63" s="18">
        <v>2078</v>
      </c>
      <c r="AA63" s="18">
        <v>1805</v>
      </c>
      <c r="AB63" s="18">
        <v>3194</v>
      </c>
      <c r="AC63" s="23">
        <v>108</v>
      </c>
      <c r="AD63" s="23">
        <v>30</v>
      </c>
    </row>
    <row r="64" spans="1:30">
      <c r="A64" s="2">
        <v>1979</v>
      </c>
      <c r="B64" s="2">
        <v>11</v>
      </c>
      <c r="U64" s="2">
        <v>1979</v>
      </c>
      <c r="V64" s="2">
        <v>11</v>
      </c>
      <c r="X64" s="17">
        <v>673566</v>
      </c>
      <c r="Y64" s="17">
        <v>69744</v>
      </c>
      <c r="Z64" s="18">
        <v>2094</v>
      </c>
      <c r="AA64" s="18">
        <v>1821</v>
      </c>
      <c r="AB64" s="18">
        <v>3200</v>
      </c>
      <c r="AC64" s="23">
        <v>108</v>
      </c>
      <c r="AD64" s="23">
        <v>30</v>
      </c>
    </row>
    <row r="65" spans="1:30">
      <c r="A65" s="2">
        <v>1979</v>
      </c>
      <c r="B65" s="2">
        <v>12</v>
      </c>
      <c r="U65" s="2">
        <v>1979</v>
      </c>
      <c r="V65" s="2">
        <v>12</v>
      </c>
      <c r="X65" s="17">
        <v>683085</v>
      </c>
      <c r="Y65" s="17">
        <v>70067</v>
      </c>
      <c r="Z65" s="18">
        <v>2087</v>
      </c>
      <c r="AA65" s="18">
        <v>1814</v>
      </c>
      <c r="AB65" s="18">
        <v>3184</v>
      </c>
      <c r="AC65" s="23">
        <v>108</v>
      </c>
      <c r="AD65" s="23">
        <v>30</v>
      </c>
    </row>
    <row r="66" spans="1:30">
      <c r="A66" s="2">
        <v>1980</v>
      </c>
      <c r="B66" s="2">
        <v>1</v>
      </c>
      <c r="U66" s="2">
        <v>1980</v>
      </c>
      <c r="V66" s="2">
        <v>1</v>
      </c>
      <c r="X66" s="17">
        <v>690189</v>
      </c>
      <c r="Y66" s="17">
        <v>70228</v>
      </c>
      <c r="Z66" s="18">
        <v>2105</v>
      </c>
      <c r="AA66" s="18">
        <v>1766</v>
      </c>
      <c r="AB66" s="18">
        <v>3238</v>
      </c>
      <c r="AC66" s="23">
        <v>108</v>
      </c>
      <c r="AD66" s="23">
        <v>30</v>
      </c>
    </row>
    <row r="67" spans="1:30">
      <c r="A67" s="2">
        <v>1980</v>
      </c>
      <c r="B67" s="2">
        <v>2</v>
      </c>
      <c r="U67" s="2">
        <v>1980</v>
      </c>
      <c r="V67" s="2">
        <v>2</v>
      </c>
      <c r="X67" s="17">
        <v>694731</v>
      </c>
      <c r="Y67" s="17">
        <v>70457</v>
      </c>
      <c r="Z67" s="18">
        <v>2117</v>
      </c>
      <c r="AA67" s="18">
        <v>1384</v>
      </c>
      <c r="AB67" s="18">
        <v>3650</v>
      </c>
      <c r="AC67" s="23">
        <v>108</v>
      </c>
      <c r="AD67" s="23">
        <v>30</v>
      </c>
    </row>
    <row r="68" spans="1:30">
      <c r="A68" s="2">
        <v>1980</v>
      </c>
      <c r="B68" s="2">
        <v>3</v>
      </c>
      <c r="U68" s="2">
        <v>1980</v>
      </c>
      <c r="V68" s="2">
        <v>3</v>
      </c>
      <c r="X68" s="17">
        <v>697098</v>
      </c>
      <c r="Y68" s="17">
        <v>70714</v>
      </c>
      <c r="Z68" s="18">
        <v>2135</v>
      </c>
      <c r="AA68" s="18">
        <v>1391</v>
      </c>
      <c r="AB68" s="18">
        <v>3682</v>
      </c>
      <c r="AC68" s="23">
        <v>108</v>
      </c>
      <c r="AD68" s="23">
        <v>30</v>
      </c>
    </row>
    <row r="69" spans="1:30">
      <c r="A69" s="2">
        <v>1980</v>
      </c>
      <c r="B69" s="2">
        <v>4</v>
      </c>
      <c r="U69" s="2">
        <v>1980</v>
      </c>
      <c r="V69" s="2">
        <v>4</v>
      </c>
      <c r="X69" s="17">
        <v>694124</v>
      </c>
      <c r="Y69" s="17">
        <v>70769</v>
      </c>
      <c r="Z69" s="18">
        <v>2132</v>
      </c>
      <c r="AA69" s="18">
        <v>1399</v>
      </c>
      <c r="AB69" s="18">
        <v>3724</v>
      </c>
      <c r="AC69" s="23">
        <v>108</v>
      </c>
      <c r="AD69" s="23">
        <v>31</v>
      </c>
    </row>
    <row r="70" spans="1:30">
      <c r="A70" s="2">
        <v>1980</v>
      </c>
      <c r="B70" s="2">
        <v>5</v>
      </c>
      <c r="U70" s="2">
        <v>1980</v>
      </c>
      <c r="V70" s="2">
        <v>5</v>
      </c>
      <c r="X70" s="17">
        <v>686160</v>
      </c>
      <c r="Y70" s="17">
        <v>71372</v>
      </c>
      <c r="Z70" s="18">
        <v>2142</v>
      </c>
      <c r="AA70" s="18">
        <v>1402</v>
      </c>
      <c r="AB70" s="18">
        <v>3746</v>
      </c>
      <c r="AC70" s="23">
        <v>108</v>
      </c>
      <c r="AD70" s="23">
        <v>31</v>
      </c>
    </row>
    <row r="71" spans="1:30">
      <c r="A71" s="2">
        <v>1980</v>
      </c>
      <c r="B71" s="2">
        <v>6</v>
      </c>
      <c r="U71" s="2">
        <v>1980</v>
      </c>
      <c r="V71" s="2">
        <v>6</v>
      </c>
      <c r="X71" s="17">
        <v>683384</v>
      </c>
      <c r="Y71" s="17">
        <v>72083</v>
      </c>
      <c r="Z71" s="18">
        <v>2150</v>
      </c>
      <c r="AA71" s="18">
        <v>1408</v>
      </c>
      <c r="AB71" s="18">
        <v>3739</v>
      </c>
      <c r="AC71" s="23">
        <v>106</v>
      </c>
      <c r="AD71" s="23">
        <v>31</v>
      </c>
    </row>
    <row r="72" spans="1:30">
      <c r="A72" s="2">
        <v>1980</v>
      </c>
      <c r="B72" s="2">
        <v>7</v>
      </c>
      <c r="U72" s="2">
        <v>1980</v>
      </c>
      <c r="V72" s="2">
        <v>7</v>
      </c>
      <c r="X72" s="17">
        <v>683582</v>
      </c>
      <c r="Y72" s="17">
        <v>71595</v>
      </c>
      <c r="Z72" s="18">
        <v>2164</v>
      </c>
      <c r="AA72" s="18">
        <v>1417</v>
      </c>
      <c r="AB72" s="18">
        <v>3746</v>
      </c>
      <c r="AC72" s="23">
        <v>107</v>
      </c>
      <c r="AD72" s="23">
        <v>31</v>
      </c>
    </row>
    <row r="73" spans="1:30">
      <c r="A73" s="2">
        <v>1980</v>
      </c>
      <c r="B73" s="2">
        <v>8</v>
      </c>
      <c r="U73" s="2">
        <v>1980</v>
      </c>
      <c r="V73" s="2">
        <v>8</v>
      </c>
      <c r="X73" s="17">
        <v>686283</v>
      </c>
      <c r="Y73" s="17">
        <v>71040</v>
      </c>
      <c r="Z73" s="18">
        <v>2162</v>
      </c>
      <c r="AA73" s="18">
        <v>1422</v>
      </c>
      <c r="AB73" s="18">
        <v>3755</v>
      </c>
      <c r="AC73" s="23">
        <v>107</v>
      </c>
      <c r="AD73" s="23">
        <v>31</v>
      </c>
    </row>
    <row r="74" spans="1:30">
      <c r="A74" s="2">
        <v>1980</v>
      </c>
      <c r="B74" s="2">
        <v>9</v>
      </c>
      <c r="U74" s="2">
        <v>1980</v>
      </c>
      <c r="V74" s="2">
        <v>9</v>
      </c>
      <c r="X74" s="17">
        <v>689720</v>
      </c>
      <c r="Y74" s="17">
        <v>71325</v>
      </c>
      <c r="Z74" s="18">
        <v>2183</v>
      </c>
      <c r="AA74" s="18">
        <v>1431</v>
      </c>
      <c r="AB74" s="18">
        <v>3750</v>
      </c>
      <c r="AC74" s="23">
        <v>106</v>
      </c>
      <c r="AD74" s="23">
        <v>32</v>
      </c>
    </row>
    <row r="75" spans="1:30">
      <c r="A75" s="2">
        <v>1980</v>
      </c>
      <c r="B75" s="2">
        <v>10</v>
      </c>
      <c r="U75" s="2">
        <v>1980</v>
      </c>
      <c r="V75" s="2">
        <v>10</v>
      </c>
      <c r="X75" s="17">
        <v>694941</v>
      </c>
      <c r="Y75" s="17">
        <v>71923</v>
      </c>
      <c r="Z75" s="18">
        <v>2183</v>
      </c>
      <c r="AA75" s="18">
        <v>1429</v>
      </c>
      <c r="AB75" s="18">
        <v>3761</v>
      </c>
      <c r="AC75" s="23">
        <v>106</v>
      </c>
      <c r="AD75" s="23">
        <v>32</v>
      </c>
    </row>
    <row r="76" spans="1:30">
      <c r="A76" s="2">
        <v>1980</v>
      </c>
      <c r="B76" s="2">
        <v>11</v>
      </c>
      <c r="U76" s="2">
        <v>1980</v>
      </c>
      <c r="V76" s="2">
        <v>11</v>
      </c>
      <c r="X76" s="17">
        <v>705883</v>
      </c>
      <c r="Y76" s="17">
        <v>72574</v>
      </c>
      <c r="Z76" s="18">
        <v>2193</v>
      </c>
      <c r="AA76" s="18">
        <v>1437</v>
      </c>
      <c r="AB76" s="18">
        <v>3790</v>
      </c>
      <c r="AC76" s="23">
        <v>106</v>
      </c>
      <c r="AD76" s="23">
        <v>32</v>
      </c>
    </row>
    <row r="77" spans="1:30">
      <c r="A77" s="2">
        <v>1980</v>
      </c>
      <c r="B77" s="2">
        <v>12</v>
      </c>
      <c r="U77" s="2">
        <v>1980</v>
      </c>
      <c r="V77" s="2">
        <v>12</v>
      </c>
      <c r="X77" s="17">
        <v>714684</v>
      </c>
      <c r="Y77" s="17">
        <v>73095</v>
      </c>
      <c r="Z77" s="18">
        <v>2206</v>
      </c>
      <c r="AA77" s="18">
        <v>1442</v>
      </c>
      <c r="AB77" s="18">
        <v>3792</v>
      </c>
      <c r="AC77" s="23">
        <v>106</v>
      </c>
      <c r="AD77" s="23">
        <v>32</v>
      </c>
    </row>
    <row r="78" spans="1:30">
      <c r="A78" s="2">
        <v>1981</v>
      </c>
      <c r="B78" s="2">
        <v>1</v>
      </c>
      <c r="U78" s="2">
        <v>1981</v>
      </c>
      <c r="V78" s="2">
        <v>1</v>
      </c>
      <c r="X78" s="17">
        <v>720831</v>
      </c>
      <c r="Y78" s="17">
        <v>73431</v>
      </c>
      <c r="Z78" s="18">
        <v>2199</v>
      </c>
      <c r="AA78" s="18">
        <v>1450</v>
      </c>
      <c r="AB78" s="18">
        <v>3805</v>
      </c>
      <c r="AC78" s="23">
        <v>105</v>
      </c>
      <c r="AD78" s="23">
        <v>32</v>
      </c>
    </row>
    <row r="79" spans="1:30">
      <c r="A79" s="2">
        <v>1981</v>
      </c>
      <c r="B79" s="2">
        <v>2</v>
      </c>
      <c r="U79" s="2">
        <v>1981</v>
      </c>
      <c r="V79" s="2">
        <v>2</v>
      </c>
      <c r="X79" s="17">
        <v>724376</v>
      </c>
      <c r="Y79" s="17">
        <v>73818</v>
      </c>
      <c r="Z79" s="18">
        <v>2208</v>
      </c>
      <c r="AA79" s="18">
        <v>1462</v>
      </c>
      <c r="AB79" s="18">
        <v>3817</v>
      </c>
      <c r="AC79" s="23">
        <v>106</v>
      </c>
      <c r="AD79" s="23">
        <v>32</v>
      </c>
    </row>
    <row r="80" spans="1:30">
      <c r="A80" s="2">
        <v>1981</v>
      </c>
      <c r="B80" s="2">
        <v>3</v>
      </c>
      <c r="U80" s="2">
        <v>1981</v>
      </c>
      <c r="V80" s="2">
        <v>3</v>
      </c>
      <c r="X80" s="17">
        <v>726235</v>
      </c>
      <c r="Y80" s="17">
        <v>73935</v>
      </c>
      <c r="Z80" s="18">
        <v>2215</v>
      </c>
      <c r="AA80" s="18">
        <v>1435</v>
      </c>
      <c r="AB80" s="18">
        <v>3868</v>
      </c>
      <c r="AC80" s="23">
        <v>106</v>
      </c>
      <c r="AD80" s="23">
        <v>32</v>
      </c>
    </row>
    <row r="81" spans="1:30">
      <c r="A81" s="2">
        <v>1981</v>
      </c>
      <c r="B81" s="2">
        <v>4</v>
      </c>
      <c r="U81" s="2">
        <v>1981</v>
      </c>
      <c r="V81" s="2">
        <v>4</v>
      </c>
      <c r="X81" s="17">
        <v>720503</v>
      </c>
      <c r="Y81" s="17">
        <v>74082</v>
      </c>
      <c r="Z81" s="18">
        <v>2203</v>
      </c>
      <c r="AA81" s="18">
        <v>1432</v>
      </c>
      <c r="AB81" s="18">
        <v>3863</v>
      </c>
      <c r="AC81" s="23">
        <v>106</v>
      </c>
      <c r="AD81" s="23">
        <v>32</v>
      </c>
    </row>
    <row r="82" spans="1:30">
      <c r="A82" s="2">
        <v>1981</v>
      </c>
      <c r="B82" s="2">
        <v>5</v>
      </c>
      <c r="U82" s="2">
        <v>1981</v>
      </c>
      <c r="V82" s="2">
        <v>5</v>
      </c>
      <c r="X82" s="17">
        <v>712716</v>
      </c>
      <c r="Y82" s="17">
        <v>74296</v>
      </c>
      <c r="Z82" s="18">
        <v>2223</v>
      </c>
      <c r="AA82" s="18">
        <v>1444</v>
      </c>
      <c r="AB82" s="18">
        <v>3900</v>
      </c>
      <c r="AC82" s="23">
        <v>106</v>
      </c>
      <c r="AD82" s="23">
        <v>32</v>
      </c>
    </row>
    <row r="83" spans="1:30">
      <c r="A83" s="2">
        <v>1981</v>
      </c>
      <c r="B83" s="2">
        <v>6</v>
      </c>
      <c r="U83" s="2">
        <v>1981</v>
      </c>
      <c r="V83" s="2">
        <v>6</v>
      </c>
      <c r="X83" s="17">
        <v>709331</v>
      </c>
      <c r="Y83" s="17">
        <v>74550</v>
      </c>
      <c r="Z83" s="18">
        <v>2239</v>
      </c>
      <c r="AA83" s="18">
        <v>1454</v>
      </c>
      <c r="AB83" s="18">
        <v>3939</v>
      </c>
      <c r="AC83" s="23">
        <v>107</v>
      </c>
      <c r="AD83" s="23">
        <v>33</v>
      </c>
    </row>
    <row r="84" spans="1:30">
      <c r="A84" s="2">
        <v>1981</v>
      </c>
      <c r="B84" s="2">
        <v>7</v>
      </c>
      <c r="U84" s="2">
        <v>1981</v>
      </c>
      <c r="V84" s="2">
        <v>7</v>
      </c>
      <c r="X84" s="17">
        <v>710805</v>
      </c>
      <c r="Y84" s="17">
        <v>74622</v>
      </c>
      <c r="Z84" s="18">
        <v>2244</v>
      </c>
      <c r="AA84" s="18">
        <v>1451</v>
      </c>
      <c r="AB84" s="18">
        <v>3964</v>
      </c>
      <c r="AC84" s="23">
        <v>106</v>
      </c>
      <c r="AD84" s="23">
        <v>34</v>
      </c>
    </row>
    <row r="85" spans="1:30">
      <c r="A85" s="2">
        <v>1981</v>
      </c>
      <c r="B85" s="2">
        <v>8</v>
      </c>
      <c r="U85" s="2">
        <v>1981</v>
      </c>
      <c r="V85" s="2">
        <v>8</v>
      </c>
      <c r="X85" s="17">
        <v>712247</v>
      </c>
      <c r="Y85" s="17">
        <v>74811</v>
      </c>
      <c r="Z85" s="18">
        <v>2255</v>
      </c>
      <c r="AA85" s="18">
        <v>1458</v>
      </c>
      <c r="AB85" s="18">
        <v>3978</v>
      </c>
      <c r="AC85" s="23">
        <v>106</v>
      </c>
      <c r="AD85" s="23">
        <v>33</v>
      </c>
    </row>
    <row r="86" spans="1:30">
      <c r="A86" s="2">
        <v>1981</v>
      </c>
      <c r="B86" s="2">
        <v>9</v>
      </c>
      <c r="U86" s="2">
        <v>1981</v>
      </c>
      <c r="V86" s="2">
        <v>9</v>
      </c>
      <c r="X86" s="17">
        <v>715446</v>
      </c>
      <c r="Y86" s="17">
        <v>74688</v>
      </c>
      <c r="Z86" s="18">
        <v>2248</v>
      </c>
      <c r="AA86" s="18">
        <v>1463</v>
      </c>
      <c r="AB86" s="18">
        <v>4023</v>
      </c>
      <c r="AC86" s="23">
        <v>107</v>
      </c>
      <c r="AD86" s="23">
        <v>31</v>
      </c>
    </row>
    <row r="87" spans="1:30">
      <c r="A87" s="2">
        <v>1981</v>
      </c>
      <c r="B87" s="2">
        <v>10</v>
      </c>
      <c r="U87" s="2">
        <v>1981</v>
      </c>
      <c r="V87" s="2">
        <v>10</v>
      </c>
      <c r="X87" s="17">
        <v>720467</v>
      </c>
      <c r="Y87" s="17">
        <v>74792</v>
      </c>
      <c r="Z87" s="18">
        <v>2270</v>
      </c>
      <c r="AA87" s="18">
        <v>1478</v>
      </c>
      <c r="AB87" s="18">
        <v>4028</v>
      </c>
      <c r="AC87" s="23">
        <v>107</v>
      </c>
      <c r="AD87" s="23">
        <v>33</v>
      </c>
    </row>
    <row r="88" spans="1:30">
      <c r="A88" s="2">
        <v>1981</v>
      </c>
      <c r="B88" s="2">
        <v>11</v>
      </c>
      <c r="U88" s="2">
        <v>1981</v>
      </c>
      <c r="V88" s="2">
        <v>11</v>
      </c>
      <c r="X88" s="17">
        <v>732737</v>
      </c>
      <c r="Y88" s="17">
        <v>74859</v>
      </c>
      <c r="Z88" s="18">
        <v>2293</v>
      </c>
      <c r="AA88" s="18">
        <v>1490</v>
      </c>
      <c r="AB88" s="18">
        <v>4062</v>
      </c>
      <c r="AC88" s="23">
        <v>108</v>
      </c>
      <c r="AD88" s="23">
        <v>32</v>
      </c>
    </row>
    <row r="89" spans="1:30">
      <c r="A89" s="2">
        <v>1981</v>
      </c>
      <c r="B89" s="2">
        <v>12</v>
      </c>
      <c r="U89" s="2">
        <v>1981</v>
      </c>
      <c r="V89" s="2">
        <v>12</v>
      </c>
      <c r="X89" s="17">
        <v>741382</v>
      </c>
      <c r="Y89" s="17">
        <v>75068</v>
      </c>
      <c r="Z89" s="18">
        <v>2296</v>
      </c>
      <c r="AA89" s="18">
        <v>1496</v>
      </c>
      <c r="AB89" s="18">
        <v>4092</v>
      </c>
      <c r="AC89" s="23">
        <v>108</v>
      </c>
      <c r="AD89" s="23">
        <v>32</v>
      </c>
    </row>
    <row r="90" spans="1:30">
      <c r="A90" s="2">
        <v>1982</v>
      </c>
      <c r="B90" s="2">
        <v>1</v>
      </c>
      <c r="U90" s="2">
        <v>1982</v>
      </c>
      <c r="V90" s="2">
        <v>1</v>
      </c>
      <c r="X90" s="17">
        <v>747181</v>
      </c>
      <c r="Y90" s="17">
        <v>75028</v>
      </c>
      <c r="Z90" s="18">
        <v>2313</v>
      </c>
      <c r="AA90" s="18">
        <v>1498</v>
      </c>
      <c r="AB90" s="18">
        <v>4152</v>
      </c>
      <c r="AC90" s="23">
        <v>108</v>
      </c>
      <c r="AD90" s="23">
        <v>32</v>
      </c>
    </row>
    <row r="91" spans="1:30">
      <c r="A91" s="2">
        <v>1982</v>
      </c>
      <c r="B91" s="2">
        <v>2</v>
      </c>
      <c r="U91" s="2">
        <v>1982</v>
      </c>
      <c r="V91" s="2">
        <v>2</v>
      </c>
      <c r="X91" s="17">
        <v>750510</v>
      </c>
      <c r="Y91" s="17">
        <v>75083</v>
      </c>
      <c r="Z91" s="18">
        <v>2320</v>
      </c>
      <c r="AA91" s="18">
        <v>1482</v>
      </c>
      <c r="AB91" s="18">
        <v>4242</v>
      </c>
      <c r="AC91" s="23">
        <v>107</v>
      </c>
      <c r="AD91" s="23">
        <v>32</v>
      </c>
    </row>
    <row r="92" spans="1:30">
      <c r="A92" s="2">
        <v>1982</v>
      </c>
      <c r="B92" s="2">
        <v>3</v>
      </c>
      <c r="U92" s="2">
        <v>1982</v>
      </c>
      <c r="V92" s="2">
        <v>3</v>
      </c>
      <c r="X92" s="17">
        <v>752564</v>
      </c>
      <c r="Y92" s="17">
        <v>75294</v>
      </c>
      <c r="Z92" s="18">
        <v>2327</v>
      </c>
      <c r="AA92" s="18">
        <v>1491</v>
      </c>
      <c r="AB92" s="18">
        <v>4291</v>
      </c>
      <c r="AC92" s="23">
        <v>108</v>
      </c>
      <c r="AD92" s="23">
        <v>32</v>
      </c>
    </row>
    <row r="93" spans="1:30">
      <c r="A93" s="2">
        <v>1982</v>
      </c>
      <c r="B93" s="2">
        <v>4</v>
      </c>
      <c r="U93" s="2">
        <v>1982</v>
      </c>
      <c r="V93" s="2">
        <v>4</v>
      </c>
      <c r="X93" s="17">
        <v>748366</v>
      </c>
      <c r="Y93" s="17">
        <v>75632</v>
      </c>
      <c r="Z93" s="18">
        <v>2330</v>
      </c>
      <c r="AA93" s="18">
        <v>1504</v>
      </c>
      <c r="AB93" s="18">
        <v>4316</v>
      </c>
      <c r="AC93" s="23">
        <v>108</v>
      </c>
      <c r="AD93" s="23">
        <v>32</v>
      </c>
    </row>
    <row r="94" spans="1:30">
      <c r="A94" s="2">
        <v>1982</v>
      </c>
      <c r="B94" s="2">
        <v>5</v>
      </c>
      <c r="U94" s="2">
        <v>1982</v>
      </c>
      <c r="V94" s="2">
        <v>5</v>
      </c>
      <c r="X94" s="17">
        <v>737411</v>
      </c>
      <c r="Y94" s="17">
        <v>75866</v>
      </c>
      <c r="Z94" s="18">
        <v>2325</v>
      </c>
      <c r="AA94" s="18">
        <v>1467</v>
      </c>
      <c r="AB94" s="18">
        <v>4440</v>
      </c>
      <c r="AC94" s="23">
        <v>109</v>
      </c>
      <c r="AD94" s="23">
        <v>31</v>
      </c>
    </row>
    <row r="95" spans="1:30">
      <c r="A95" s="2">
        <v>1982</v>
      </c>
      <c r="B95" s="2">
        <v>6</v>
      </c>
      <c r="U95" s="2">
        <v>1982</v>
      </c>
      <c r="V95" s="2">
        <v>6</v>
      </c>
      <c r="X95" s="17">
        <v>733696</v>
      </c>
      <c r="Y95" s="17">
        <v>76016</v>
      </c>
      <c r="Z95" s="18">
        <v>2337</v>
      </c>
      <c r="AA95" s="18">
        <v>1317</v>
      </c>
      <c r="AB95" s="18">
        <v>4745</v>
      </c>
      <c r="AC95" s="23">
        <v>108</v>
      </c>
      <c r="AD95" s="23">
        <v>32</v>
      </c>
    </row>
    <row r="96" spans="1:30">
      <c r="A96" s="2">
        <v>1982</v>
      </c>
      <c r="B96" s="2">
        <v>7</v>
      </c>
      <c r="U96" s="2">
        <v>1982</v>
      </c>
      <c r="V96" s="2">
        <v>7</v>
      </c>
      <c r="X96" s="17">
        <v>735864</v>
      </c>
      <c r="Y96" s="17">
        <v>76264</v>
      </c>
      <c r="Z96" s="18">
        <v>2332</v>
      </c>
      <c r="AA96" s="18">
        <v>1324</v>
      </c>
      <c r="AB96" s="18">
        <v>4729</v>
      </c>
      <c r="AC96" s="23">
        <v>109</v>
      </c>
      <c r="AD96" s="23">
        <v>31</v>
      </c>
    </row>
    <row r="97" spans="1:30">
      <c r="A97" s="2">
        <v>1982</v>
      </c>
      <c r="B97" s="2">
        <v>8</v>
      </c>
      <c r="U97" s="2">
        <v>1982</v>
      </c>
      <c r="V97" s="2">
        <v>8</v>
      </c>
      <c r="X97" s="17">
        <v>733676</v>
      </c>
      <c r="Y97" s="17">
        <v>76108</v>
      </c>
      <c r="Z97" s="18">
        <v>2328</v>
      </c>
      <c r="AA97" s="18">
        <v>1319</v>
      </c>
      <c r="AB97" s="18">
        <v>4736</v>
      </c>
      <c r="AC97" s="23">
        <v>109</v>
      </c>
      <c r="AD97" s="23">
        <v>31</v>
      </c>
    </row>
    <row r="98" spans="1:30">
      <c r="A98" s="2">
        <v>1982</v>
      </c>
      <c r="B98" s="2">
        <v>9</v>
      </c>
      <c r="U98" s="2">
        <v>1982</v>
      </c>
      <c r="V98" s="2">
        <v>9</v>
      </c>
      <c r="X98" s="17">
        <v>737824</v>
      </c>
      <c r="Y98" s="17">
        <v>76685</v>
      </c>
      <c r="Z98" s="18">
        <v>2337</v>
      </c>
      <c r="AA98" s="18">
        <v>1335</v>
      </c>
      <c r="AB98" s="18">
        <v>4772</v>
      </c>
      <c r="AC98" s="23">
        <v>108</v>
      </c>
      <c r="AD98" s="23">
        <v>32</v>
      </c>
    </row>
    <row r="99" spans="1:30">
      <c r="A99" s="2">
        <v>1982</v>
      </c>
      <c r="B99" s="2">
        <v>10</v>
      </c>
      <c r="U99" s="2">
        <v>1982</v>
      </c>
      <c r="V99" s="2">
        <v>10</v>
      </c>
      <c r="X99" s="17">
        <v>742553</v>
      </c>
      <c r="Y99" s="17">
        <v>77127</v>
      </c>
      <c r="Z99" s="18">
        <v>2357</v>
      </c>
      <c r="AA99" s="18">
        <v>1331</v>
      </c>
      <c r="AB99" s="18">
        <v>4774</v>
      </c>
      <c r="AC99" s="23">
        <v>108</v>
      </c>
      <c r="AD99" s="23">
        <v>32</v>
      </c>
    </row>
    <row r="100" spans="1:30">
      <c r="A100" s="2">
        <v>1982</v>
      </c>
      <c r="B100" s="2">
        <v>11</v>
      </c>
      <c r="U100" s="2">
        <v>1982</v>
      </c>
      <c r="V100" s="2">
        <v>11</v>
      </c>
      <c r="X100" s="17">
        <v>755941</v>
      </c>
      <c r="Y100" s="17">
        <v>77593</v>
      </c>
      <c r="Z100" s="18">
        <v>2364</v>
      </c>
      <c r="AA100" s="18">
        <v>1342</v>
      </c>
      <c r="AB100" s="18">
        <v>4821</v>
      </c>
      <c r="AC100" s="23">
        <v>107</v>
      </c>
      <c r="AD100" s="23">
        <v>32</v>
      </c>
    </row>
    <row r="101" spans="1:30">
      <c r="A101" s="2">
        <v>1982</v>
      </c>
      <c r="B101" s="2">
        <v>12</v>
      </c>
      <c r="U101" s="2">
        <v>1982</v>
      </c>
      <c r="V101" s="2">
        <v>12</v>
      </c>
      <c r="X101" s="17">
        <v>766275</v>
      </c>
      <c r="Y101" s="17">
        <v>78021</v>
      </c>
      <c r="Z101" s="18">
        <v>2360</v>
      </c>
      <c r="AA101" s="18">
        <v>1353</v>
      </c>
      <c r="AB101" s="18">
        <v>4849</v>
      </c>
      <c r="AC101" s="23">
        <v>109</v>
      </c>
      <c r="AD101" s="23">
        <v>32</v>
      </c>
    </row>
    <row r="102" spans="1:30">
      <c r="A102" s="2">
        <v>1983</v>
      </c>
      <c r="B102" s="2">
        <v>1</v>
      </c>
      <c r="U102" s="2">
        <v>1983</v>
      </c>
      <c r="V102" s="2">
        <v>1</v>
      </c>
      <c r="X102" s="17">
        <v>772732</v>
      </c>
      <c r="Y102" s="17">
        <v>78384</v>
      </c>
      <c r="Z102" s="18">
        <v>2371</v>
      </c>
      <c r="AA102" s="18">
        <v>1351</v>
      </c>
      <c r="AB102" s="18">
        <v>4860</v>
      </c>
      <c r="AC102" s="23">
        <v>108</v>
      </c>
      <c r="AD102" s="23">
        <v>32</v>
      </c>
    </row>
    <row r="103" spans="1:30">
      <c r="A103" s="2">
        <v>1983</v>
      </c>
      <c r="B103" s="2">
        <v>2</v>
      </c>
      <c r="U103" s="2">
        <v>1983</v>
      </c>
      <c r="V103" s="2">
        <v>2</v>
      </c>
      <c r="X103" s="17">
        <v>776898</v>
      </c>
      <c r="Y103" s="17">
        <v>78896</v>
      </c>
      <c r="Z103" s="18">
        <v>2383</v>
      </c>
      <c r="AA103" s="18">
        <v>1357</v>
      </c>
      <c r="AB103" s="18">
        <v>4867</v>
      </c>
      <c r="AC103" s="23">
        <v>108</v>
      </c>
      <c r="AD103" s="23">
        <v>32</v>
      </c>
    </row>
    <row r="104" spans="1:30">
      <c r="A104" s="2">
        <v>1983</v>
      </c>
      <c r="B104" s="2">
        <v>3</v>
      </c>
      <c r="U104" s="2">
        <v>1983</v>
      </c>
      <c r="V104" s="2">
        <v>3</v>
      </c>
      <c r="X104" s="17">
        <v>778565</v>
      </c>
      <c r="Y104" s="17">
        <v>79382</v>
      </c>
      <c r="Z104" s="18">
        <v>2367</v>
      </c>
      <c r="AA104" s="18">
        <v>1364</v>
      </c>
      <c r="AB104" s="18">
        <v>5167</v>
      </c>
      <c r="AC104" s="23">
        <v>108</v>
      </c>
      <c r="AD104" s="23">
        <v>26</v>
      </c>
    </row>
    <row r="105" spans="1:30">
      <c r="A105" s="2">
        <v>1983</v>
      </c>
      <c r="B105" s="2">
        <v>4</v>
      </c>
      <c r="U105" s="2">
        <v>1983</v>
      </c>
      <c r="V105" s="2">
        <v>4</v>
      </c>
      <c r="X105" s="17">
        <v>773408</v>
      </c>
      <c r="Y105" s="17">
        <v>79968</v>
      </c>
      <c r="Z105" s="18">
        <v>2387</v>
      </c>
      <c r="AA105" s="18">
        <v>1373</v>
      </c>
      <c r="AB105" s="18">
        <v>5267</v>
      </c>
      <c r="AC105" s="23">
        <v>106</v>
      </c>
      <c r="AD105" s="23">
        <v>21</v>
      </c>
    </row>
    <row r="106" spans="1:30">
      <c r="A106" s="2">
        <v>1983</v>
      </c>
      <c r="B106" s="2">
        <v>5</v>
      </c>
      <c r="U106" s="2">
        <v>1983</v>
      </c>
      <c r="V106" s="2">
        <v>5</v>
      </c>
      <c r="X106" s="17">
        <v>761979</v>
      </c>
      <c r="Y106" s="17">
        <v>80214</v>
      </c>
      <c r="Z106" s="18">
        <v>2390</v>
      </c>
      <c r="AA106" s="18">
        <v>1383</v>
      </c>
      <c r="AB106" s="18">
        <v>5313</v>
      </c>
      <c r="AC106" s="23">
        <v>107</v>
      </c>
      <c r="AD106" s="23">
        <v>22</v>
      </c>
    </row>
    <row r="107" spans="1:30">
      <c r="A107" s="2">
        <v>1983</v>
      </c>
      <c r="B107" s="2">
        <v>6</v>
      </c>
      <c r="U107" s="2">
        <v>1983</v>
      </c>
      <c r="V107" s="2">
        <v>6</v>
      </c>
      <c r="X107" s="17">
        <v>758791</v>
      </c>
      <c r="Y107" s="17">
        <v>80750</v>
      </c>
      <c r="Z107" s="18">
        <v>2406</v>
      </c>
      <c r="AA107" s="18">
        <v>1388</v>
      </c>
      <c r="AB107" s="18">
        <v>5346</v>
      </c>
      <c r="AC107" s="23">
        <v>107</v>
      </c>
      <c r="AD107" s="23">
        <v>21</v>
      </c>
    </row>
    <row r="108" spans="1:30">
      <c r="A108" s="2">
        <v>1983</v>
      </c>
      <c r="B108" s="2">
        <v>7</v>
      </c>
      <c r="U108" s="2">
        <v>1983</v>
      </c>
      <c r="V108" s="2">
        <v>7</v>
      </c>
      <c r="X108" s="17">
        <v>759822</v>
      </c>
      <c r="Y108" s="17">
        <v>81370</v>
      </c>
      <c r="Z108" s="18">
        <v>2409</v>
      </c>
      <c r="AA108" s="18">
        <v>1396</v>
      </c>
      <c r="AB108" s="18">
        <v>5343</v>
      </c>
      <c r="AC108" s="23">
        <v>107</v>
      </c>
      <c r="AD108" s="23">
        <v>21</v>
      </c>
    </row>
    <row r="109" spans="1:30">
      <c r="A109" s="2">
        <v>1983</v>
      </c>
      <c r="B109" s="2">
        <v>8</v>
      </c>
      <c r="U109" s="2">
        <v>1983</v>
      </c>
      <c r="V109" s="2">
        <v>8</v>
      </c>
      <c r="X109" s="17">
        <v>761268</v>
      </c>
      <c r="Y109" s="17">
        <v>81994</v>
      </c>
      <c r="Z109" s="18">
        <v>2409</v>
      </c>
      <c r="AA109" s="18">
        <v>1407</v>
      </c>
      <c r="AB109" s="18">
        <v>5387</v>
      </c>
      <c r="AC109" s="23">
        <v>107</v>
      </c>
      <c r="AD109" s="23">
        <v>21</v>
      </c>
    </row>
    <row r="110" spans="1:30">
      <c r="A110" s="2">
        <v>1983</v>
      </c>
      <c r="B110" s="2">
        <v>9</v>
      </c>
      <c r="U110" s="2">
        <v>1983</v>
      </c>
      <c r="V110" s="2">
        <v>9</v>
      </c>
      <c r="X110" s="17">
        <v>764420</v>
      </c>
      <c r="Y110" s="17">
        <v>82331</v>
      </c>
      <c r="Z110" s="18">
        <v>2416</v>
      </c>
      <c r="AA110" s="18">
        <v>1420</v>
      </c>
      <c r="AB110" s="18">
        <v>5524</v>
      </c>
      <c r="AC110" s="23">
        <v>107</v>
      </c>
      <c r="AD110" s="23">
        <v>22</v>
      </c>
    </row>
    <row r="111" spans="1:30">
      <c r="A111" s="2">
        <v>1983</v>
      </c>
      <c r="B111" s="2">
        <v>10</v>
      </c>
      <c r="U111" s="2">
        <v>1983</v>
      </c>
      <c r="V111" s="2">
        <v>10</v>
      </c>
      <c r="X111" s="17">
        <v>769725</v>
      </c>
      <c r="Y111" s="17">
        <v>83347</v>
      </c>
      <c r="Z111" s="18">
        <v>2443</v>
      </c>
      <c r="AA111" s="18">
        <v>1423</v>
      </c>
      <c r="AB111" s="18">
        <v>5554</v>
      </c>
      <c r="AC111" s="23">
        <v>107</v>
      </c>
      <c r="AD111" s="23">
        <v>22</v>
      </c>
    </row>
    <row r="112" spans="1:30">
      <c r="A112" s="2">
        <v>1983</v>
      </c>
      <c r="B112" s="2">
        <v>11</v>
      </c>
      <c r="U112" s="2">
        <v>1983</v>
      </c>
      <c r="V112" s="2">
        <v>11</v>
      </c>
      <c r="X112" s="17">
        <v>782124</v>
      </c>
      <c r="Y112" s="17">
        <v>83828</v>
      </c>
      <c r="Z112" s="18">
        <v>2456</v>
      </c>
      <c r="AA112" s="18">
        <v>1425</v>
      </c>
      <c r="AB112" s="18">
        <v>5583</v>
      </c>
      <c r="AC112" s="23">
        <v>106</v>
      </c>
      <c r="AD112" s="23">
        <v>22</v>
      </c>
    </row>
    <row r="113" spans="1:30">
      <c r="A113" s="2">
        <v>1983</v>
      </c>
      <c r="B113" s="2">
        <v>12</v>
      </c>
      <c r="U113" s="2">
        <v>1983</v>
      </c>
      <c r="V113" s="2">
        <v>12</v>
      </c>
      <c r="X113" s="17">
        <v>792830</v>
      </c>
      <c r="Y113" s="17">
        <v>84527</v>
      </c>
      <c r="Z113" s="18">
        <v>2465</v>
      </c>
      <c r="AA113" s="18">
        <v>1429</v>
      </c>
      <c r="AB113" s="18">
        <v>5621</v>
      </c>
      <c r="AC113" s="23">
        <v>107</v>
      </c>
      <c r="AD113" s="23">
        <v>22</v>
      </c>
    </row>
    <row r="114" spans="1:30">
      <c r="A114" s="2">
        <v>1984</v>
      </c>
      <c r="B114" s="2">
        <v>1</v>
      </c>
      <c r="U114" s="2">
        <v>1984</v>
      </c>
      <c r="V114" s="2">
        <v>1</v>
      </c>
      <c r="X114" s="17">
        <v>800673</v>
      </c>
      <c r="Y114" s="17">
        <v>84730</v>
      </c>
      <c r="Z114" s="18">
        <v>2470</v>
      </c>
      <c r="AA114" s="18">
        <v>1439</v>
      </c>
      <c r="AB114" s="18">
        <v>5656</v>
      </c>
      <c r="AC114" s="23">
        <v>108</v>
      </c>
      <c r="AD114" s="23">
        <v>22</v>
      </c>
    </row>
    <row r="115" spans="1:30">
      <c r="A115" s="2">
        <v>1984</v>
      </c>
      <c r="B115" s="2">
        <v>2</v>
      </c>
      <c r="U115" s="2">
        <v>1984</v>
      </c>
      <c r="V115" s="2">
        <v>2</v>
      </c>
      <c r="X115" s="17">
        <v>806879</v>
      </c>
      <c r="Y115" s="17">
        <v>84934</v>
      </c>
      <c r="Z115" s="18">
        <v>2474</v>
      </c>
      <c r="AA115" s="18">
        <v>1448</v>
      </c>
      <c r="AB115" s="18">
        <v>5681</v>
      </c>
      <c r="AC115" s="23">
        <v>107</v>
      </c>
      <c r="AD115" s="23">
        <v>22</v>
      </c>
    </row>
    <row r="116" spans="1:30">
      <c r="A116" s="2">
        <v>1984</v>
      </c>
      <c r="B116" s="2">
        <v>3</v>
      </c>
      <c r="U116" s="2">
        <v>1984</v>
      </c>
      <c r="V116" s="2">
        <v>3</v>
      </c>
      <c r="X116" s="17">
        <v>807950</v>
      </c>
      <c r="Y116" s="17">
        <v>85137</v>
      </c>
      <c r="Z116" s="18">
        <v>2479</v>
      </c>
      <c r="AA116" s="18">
        <v>1458</v>
      </c>
      <c r="AB116" s="18">
        <v>5723</v>
      </c>
      <c r="AC116" s="23">
        <v>70</v>
      </c>
      <c r="AD116" s="23">
        <v>21</v>
      </c>
    </row>
    <row r="117" spans="1:30">
      <c r="A117" s="2">
        <v>1984</v>
      </c>
      <c r="B117" s="2">
        <v>4</v>
      </c>
      <c r="U117" s="2">
        <v>1984</v>
      </c>
      <c r="V117" s="2">
        <v>4</v>
      </c>
      <c r="X117" s="17">
        <v>805361</v>
      </c>
      <c r="Y117" s="17">
        <v>85752</v>
      </c>
      <c r="Z117" s="18">
        <v>2514</v>
      </c>
      <c r="AA117" s="18">
        <v>1469</v>
      </c>
      <c r="AB117" s="18">
        <v>5770</v>
      </c>
      <c r="AC117" s="23">
        <v>1</v>
      </c>
      <c r="AD117" s="23">
        <v>22</v>
      </c>
    </row>
    <row r="118" spans="1:30">
      <c r="A118" s="2">
        <v>1984</v>
      </c>
      <c r="B118" s="2">
        <v>5</v>
      </c>
      <c r="U118" s="2">
        <v>1984</v>
      </c>
      <c r="V118" s="2">
        <v>5</v>
      </c>
      <c r="X118" s="17">
        <v>794783</v>
      </c>
      <c r="Y118" s="17">
        <v>86127</v>
      </c>
      <c r="Z118" s="18">
        <v>2519</v>
      </c>
      <c r="AA118" s="18">
        <v>1485</v>
      </c>
      <c r="AB118" s="18">
        <v>5805</v>
      </c>
      <c r="AC118" s="23">
        <v>1</v>
      </c>
      <c r="AD118" s="23">
        <v>22</v>
      </c>
    </row>
    <row r="119" spans="1:30">
      <c r="A119" s="2">
        <v>1984</v>
      </c>
      <c r="B119" s="2">
        <v>6</v>
      </c>
      <c r="U119" s="2">
        <v>1984</v>
      </c>
      <c r="V119" s="2">
        <v>6</v>
      </c>
      <c r="X119" s="17">
        <v>791443</v>
      </c>
      <c r="Y119" s="17">
        <v>86618</v>
      </c>
      <c r="Z119" s="18">
        <v>2522</v>
      </c>
      <c r="AA119" s="18">
        <v>1500</v>
      </c>
      <c r="AB119" s="18">
        <v>5827</v>
      </c>
      <c r="AC119" s="23">
        <v>1</v>
      </c>
      <c r="AD119" s="23">
        <v>22</v>
      </c>
    </row>
    <row r="120" spans="1:30">
      <c r="A120" s="2">
        <v>1984</v>
      </c>
      <c r="B120" s="2">
        <v>7</v>
      </c>
      <c r="U120" s="2">
        <v>1984</v>
      </c>
      <c r="V120" s="2">
        <v>7</v>
      </c>
      <c r="X120" s="17">
        <v>793289</v>
      </c>
      <c r="Y120" s="17">
        <v>86944</v>
      </c>
      <c r="Z120" s="18">
        <v>2541</v>
      </c>
      <c r="AA120" s="18">
        <v>1514</v>
      </c>
      <c r="AB120" s="18">
        <v>5824</v>
      </c>
      <c r="AC120" s="23">
        <v>1</v>
      </c>
      <c r="AD120" s="23">
        <v>22</v>
      </c>
    </row>
    <row r="121" spans="1:30">
      <c r="A121" s="2">
        <v>1984</v>
      </c>
      <c r="B121" s="2">
        <v>8</v>
      </c>
      <c r="U121" s="2">
        <v>1984</v>
      </c>
      <c r="V121" s="2">
        <v>8</v>
      </c>
      <c r="X121" s="17">
        <v>796120</v>
      </c>
      <c r="Y121" s="17">
        <v>87215</v>
      </c>
      <c r="Z121" s="18">
        <v>2538</v>
      </c>
      <c r="AA121" s="18">
        <v>1528</v>
      </c>
      <c r="AB121" s="18">
        <v>5837</v>
      </c>
      <c r="AC121" s="23">
        <v>1</v>
      </c>
      <c r="AD121" s="23">
        <v>22</v>
      </c>
    </row>
    <row r="122" spans="1:30">
      <c r="A122" s="2">
        <v>1984</v>
      </c>
      <c r="B122" s="2">
        <v>9</v>
      </c>
      <c r="U122" s="2">
        <v>1984</v>
      </c>
      <c r="V122" s="2">
        <v>9</v>
      </c>
      <c r="X122" s="17">
        <v>800204</v>
      </c>
      <c r="Y122" s="17">
        <v>87622</v>
      </c>
      <c r="Z122" s="18">
        <v>2542</v>
      </c>
      <c r="AA122" s="18">
        <v>1531</v>
      </c>
      <c r="AB122" s="18">
        <v>5879</v>
      </c>
      <c r="AC122" s="23">
        <v>1</v>
      </c>
      <c r="AD122" s="23">
        <v>21</v>
      </c>
    </row>
    <row r="123" spans="1:30">
      <c r="A123" s="2">
        <v>1984</v>
      </c>
      <c r="B123" s="2">
        <v>10</v>
      </c>
      <c r="U123" s="2">
        <v>1984</v>
      </c>
      <c r="V123" s="2">
        <v>10</v>
      </c>
      <c r="X123" s="17">
        <v>805573</v>
      </c>
      <c r="Y123" s="17">
        <v>88036</v>
      </c>
      <c r="Z123" s="18">
        <v>2554</v>
      </c>
      <c r="AA123" s="18">
        <v>1539</v>
      </c>
      <c r="AB123" s="18">
        <v>5889</v>
      </c>
      <c r="AC123" s="23">
        <v>1</v>
      </c>
      <c r="AD123" s="23">
        <v>21</v>
      </c>
    </row>
    <row r="124" spans="1:30">
      <c r="A124" s="2">
        <v>1984</v>
      </c>
      <c r="B124" s="2">
        <v>11</v>
      </c>
      <c r="U124" s="2">
        <v>1984</v>
      </c>
      <c r="V124" s="2">
        <v>11</v>
      </c>
      <c r="X124" s="17">
        <v>818330</v>
      </c>
      <c r="Y124" s="17">
        <v>88684</v>
      </c>
      <c r="Z124" s="18">
        <v>2550</v>
      </c>
      <c r="AA124" s="18">
        <v>1553</v>
      </c>
      <c r="AB124" s="18">
        <v>5920</v>
      </c>
      <c r="AC124" s="23">
        <v>1</v>
      </c>
      <c r="AD124" s="23">
        <v>22</v>
      </c>
    </row>
    <row r="125" spans="1:30">
      <c r="A125" s="2">
        <v>1984</v>
      </c>
      <c r="B125" s="2">
        <v>12</v>
      </c>
      <c r="U125" s="2">
        <v>1984</v>
      </c>
      <c r="V125" s="2">
        <v>12</v>
      </c>
      <c r="X125" s="17">
        <v>829461</v>
      </c>
      <c r="Y125" s="17">
        <v>89125</v>
      </c>
      <c r="Z125" s="18">
        <v>2548</v>
      </c>
      <c r="AA125" s="18">
        <v>1570</v>
      </c>
      <c r="AB125" s="18">
        <v>5949</v>
      </c>
      <c r="AC125" s="23">
        <v>1</v>
      </c>
      <c r="AD125" s="23">
        <v>22</v>
      </c>
    </row>
    <row r="126" spans="1:30">
      <c r="A126" s="2">
        <v>1985</v>
      </c>
      <c r="B126" s="2">
        <v>1</v>
      </c>
      <c r="U126" s="2">
        <v>1985</v>
      </c>
      <c r="V126" s="2">
        <v>1</v>
      </c>
      <c r="X126" s="17">
        <v>836425</v>
      </c>
      <c r="Y126" s="17">
        <v>89466</v>
      </c>
      <c r="Z126" s="18">
        <v>2554</v>
      </c>
      <c r="AA126" s="18">
        <v>1580</v>
      </c>
      <c r="AB126" s="18">
        <v>6027</v>
      </c>
      <c r="AC126" s="23">
        <v>1</v>
      </c>
      <c r="AD126" s="23">
        <v>21</v>
      </c>
    </row>
    <row r="127" spans="1:30">
      <c r="A127" s="2">
        <v>1985</v>
      </c>
      <c r="B127" s="2">
        <v>2</v>
      </c>
      <c r="U127" s="2">
        <v>1985</v>
      </c>
      <c r="V127" s="2">
        <v>2</v>
      </c>
      <c r="X127" s="17">
        <v>841389</v>
      </c>
      <c r="Y127" s="17">
        <v>89803</v>
      </c>
      <c r="Z127" s="18">
        <v>2536</v>
      </c>
      <c r="AA127" s="18">
        <v>1594</v>
      </c>
      <c r="AB127" s="18">
        <v>6059</v>
      </c>
      <c r="AC127" s="23">
        <v>1</v>
      </c>
      <c r="AD127" s="23">
        <v>21</v>
      </c>
    </row>
    <row r="128" spans="1:30">
      <c r="A128" s="2">
        <v>1985</v>
      </c>
      <c r="B128" s="2">
        <v>3</v>
      </c>
      <c r="U128" s="2">
        <v>1985</v>
      </c>
      <c r="V128" s="2">
        <v>3</v>
      </c>
      <c r="X128" s="17">
        <v>844730</v>
      </c>
      <c r="Y128" s="17">
        <v>90229</v>
      </c>
      <c r="Z128" s="18">
        <v>2569</v>
      </c>
      <c r="AA128" s="18">
        <v>1613</v>
      </c>
      <c r="AB128" s="18">
        <v>6114</v>
      </c>
      <c r="AC128" s="23">
        <v>1</v>
      </c>
      <c r="AD128" s="23">
        <v>21</v>
      </c>
    </row>
    <row r="129" spans="1:30">
      <c r="A129" s="2">
        <v>1985</v>
      </c>
      <c r="B129" s="2">
        <v>4</v>
      </c>
      <c r="U129" s="2">
        <v>1985</v>
      </c>
      <c r="V129" s="2">
        <v>4</v>
      </c>
      <c r="X129" s="17">
        <v>841522</v>
      </c>
      <c r="Y129" s="17">
        <v>90693</v>
      </c>
      <c r="Z129" s="18">
        <v>2573</v>
      </c>
      <c r="AA129" s="18">
        <v>1630</v>
      </c>
      <c r="AB129" s="18">
        <v>6157</v>
      </c>
      <c r="AC129" s="23">
        <v>2</v>
      </c>
      <c r="AD129" s="23">
        <v>21</v>
      </c>
    </row>
    <row r="130" spans="1:30">
      <c r="A130" s="2">
        <v>1985</v>
      </c>
      <c r="B130" s="2">
        <v>5</v>
      </c>
      <c r="U130" s="2">
        <v>1985</v>
      </c>
      <c r="V130" s="2">
        <v>5</v>
      </c>
      <c r="X130" s="17">
        <v>829934</v>
      </c>
      <c r="Y130" s="17">
        <v>91146</v>
      </c>
      <c r="Z130" s="18">
        <v>2589</v>
      </c>
      <c r="AA130" s="18">
        <v>1638</v>
      </c>
      <c r="AB130" s="18">
        <v>6170</v>
      </c>
      <c r="AC130" s="23">
        <v>2</v>
      </c>
      <c r="AD130" s="23">
        <v>21</v>
      </c>
    </row>
    <row r="131" spans="1:30">
      <c r="A131" s="2">
        <v>1985</v>
      </c>
      <c r="B131" s="2">
        <v>6</v>
      </c>
      <c r="U131" s="2">
        <v>1985</v>
      </c>
      <c r="V131" s="2">
        <v>6</v>
      </c>
      <c r="X131" s="17">
        <v>826737</v>
      </c>
      <c r="Y131" s="17">
        <v>91654</v>
      </c>
      <c r="Z131" s="18">
        <v>2623</v>
      </c>
      <c r="AA131" s="18">
        <v>1659</v>
      </c>
      <c r="AB131" s="18">
        <v>6186</v>
      </c>
      <c r="AC131" s="23">
        <v>2</v>
      </c>
      <c r="AD131" s="23">
        <v>22</v>
      </c>
    </row>
    <row r="132" spans="1:30">
      <c r="A132" s="2">
        <v>1985</v>
      </c>
      <c r="B132" s="2">
        <v>7</v>
      </c>
      <c r="U132" s="2">
        <v>1985</v>
      </c>
      <c r="V132" s="2">
        <v>7</v>
      </c>
      <c r="X132" s="17">
        <v>828223</v>
      </c>
      <c r="Y132" s="17">
        <v>91866</v>
      </c>
      <c r="Z132" s="18">
        <v>2629</v>
      </c>
      <c r="AA132" s="18">
        <v>1689</v>
      </c>
      <c r="AB132" s="18">
        <v>6190</v>
      </c>
      <c r="AC132" s="23">
        <v>2</v>
      </c>
      <c r="AD132" s="23">
        <v>21</v>
      </c>
    </row>
    <row r="133" spans="1:30">
      <c r="A133" s="2">
        <v>1985</v>
      </c>
      <c r="B133" s="2">
        <v>8</v>
      </c>
      <c r="U133" s="2">
        <v>1985</v>
      </c>
      <c r="V133" s="2">
        <v>8</v>
      </c>
      <c r="X133" s="17">
        <v>830036</v>
      </c>
      <c r="Y133" s="17">
        <v>92416</v>
      </c>
      <c r="Z133" s="18">
        <v>2644</v>
      </c>
      <c r="AA133" s="18">
        <v>1704</v>
      </c>
      <c r="AB133" s="18">
        <v>6207</v>
      </c>
      <c r="AC133" s="23">
        <v>2</v>
      </c>
      <c r="AD133" s="23">
        <v>21</v>
      </c>
    </row>
    <row r="134" spans="1:30">
      <c r="A134" s="2">
        <v>1985</v>
      </c>
      <c r="B134" s="2">
        <v>9</v>
      </c>
      <c r="U134" s="2">
        <v>1985</v>
      </c>
      <c r="V134" s="2">
        <v>9</v>
      </c>
      <c r="X134" s="17">
        <v>833418</v>
      </c>
      <c r="Y134" s="17">
        <v>92852</v>
      </c>
      <c r="Z134" s="18">
        <v>2646</v>
      </c>
      <c r="AA134" s="18">
        <v>1719</v>
      </c>
      <c r="AB134" s="18">
        <v>6243</v>
      </c>
      <c r="AC134" s="23">
        <v>2</v>
      </c>
      <c r="AD134" s="23">
        <v>22</v>
      </c>
    </row>
    <row r="135" spans="1:30">
      <c r="A135" s="2">
        <v>1985</v>
      </c>
      <c r="B135" s="2">
        <v>10</v>
      </c>
      <c r="U135" s="2">
        <v>1985</v>
      </c>
      <c r="V135" s="2">
        <v>10</v>
      </c>
      <c r="X135" s="17">
        <v>838323</v>
      </c>
      <c r="Y135" s="17">
        <v>93305</v>
      </c>
      <c r="Z135" s="18">
        <v>2650</v>
      </c>
      <c r="AA135" s="18">
        <v>1715</v>
      </c>
      <c r="AB135" s="18">
        <v>6269</v>
      </c>
      <c r="AC135" s="23">
        <v>2</v>
      </c>
      <c r="AD135" s="23">
        <v>20</v>
      </c>
    </row>
    <row r="136" spans="1:30">
      <c r="A136" s="2">
        <v>1985</v>
      </c>
      <c r="B136" s="2">
        <v>11</v>
      </c>
      <c r="U136" s="2">
        <v>1985</v>
      </c>
      <c r="V136" s="2">
        <v>11</v>
      </c>
      <c r="X136" s="17">
        <v>850470</v>
      </c>
      <c r="Y136" s="17">
        <v>93946</v>
      </c>
      <c r="Z136" s="18">
        <v>2653</v>
      </c>
      <c r="AA136" s="18">
        <v>1717</v>
      </c>
      <c r="AB136" s="18">
        <v>6293</v>
      </c>
      <c r="AC136" s="23">
        <v>2</v>
      </c>
      <c r="AD136" s="23">
        <v>21</v>
      </c>
    </row>
    <row r="137" spans="1:30">
      <c r="A137" s="2">
        <v>1985</v>
      </c>
      <c r="B137" s="2">
        <v>12</v>
      </c>
      <c r="U137" s="2">
        <v>1985</v>
      </c>
      <c r="V137" s="2">
        <v>12</v>
      </c>
      <c r="X137" s="17">
        <v>862852</v>
      </c>
      <c r="Y137" s="17">
        <v>94423</v>
      </c>
      <c r="Z137" s="18">
        <v>2662</v>
      </c>
      <c r="AA137" s="18">
        <v>1737</v>
      </c>
      <c r="AB137" s="18">
        <v>6336</v>
      </c>
      <c r="AC137" s="23">
        <v>2</v>
      </c>
      <c r="AD137" s="23">
        <v>21</v>
      </c>
    </row>
    <row r="138" spans="1:30">
      <c r="A138" s="2">
        <v>1986</v>
      </c>
      <c r="B138" s="2">
        <v>1</v>
      </c>
      <c r="U138" s="2">
        <v>1986</v>
      </c>
      <c r="V138" s="2">
        <v>1</v>
      </c>
      <c r="X138" s="17">
        <v>871218</v>
      </c>
      <c r="Y138" s="17">
        <v>94471</v>
      </c>
      <c r="Z138" s="18">
        <v>2666</v>
      </c>
      <c r="AA138" s="18">
        <v>1750</v>
      </c>
      <c r="AB138" s="18">
        <v>6402</v>
      </c>
      <c r="AC138" s="23">
        <v>2</v>
      </c>
      <c r="AD138" s="23">
        <v>19</v>
      </c>
    </row>
    <row r="139" spans="1:30">
      <c r="A139" s="2">
        <v>1986</v>
      </c>
      <c r="B139" s="2">
        <v>2</v>
      </c>
      <c r="U139" s="2">
        <v>1986</v>
      </c>
      <c r="V139" s="2">
        <v>2</v>
      </c>
      <c r="X139" s="17">
        <v>876985</v>
      </c>
      <c r="Y139" s="17">
        <v>94745</v>
      </c>
      <c r="Z139" s="18">
        <v>2679</v>
      </c>
      <c r="AA139" s="18">
        <v>1765</v>
      </c>
      <c r="AB139" s="18">
        <v>6422</v>
      </c>
      <c r="AC139" s="23">
        <v>2</v>
      </c>
      <c r="AD139" s="23">
        <v>19</v>
      </c>
    </row>
    <row r="140" spans="1:30">
      <c r="A140" s="2">
        <v>1986</v>
      </c>
      <c r="B140" s="2">
        <v>3</v>
      </c>
      <c r="U140" s="2">
        <v>1986</v>
      </c>
      <c r="V140" s="2">
        <v>3</v>
      </c>
      <c r="X140" s="17">
        <v>879528</v>
      </c>
      <c r="Y140" s="17">
        <v>95206</v>
      </c>
      <c r="Z140" s="18">
        <v>2686</v>
      </c>
      <c r="AA140" s="18">
        <v>1780</v>
      </c>
      <c r="AB140" s="18">
        <v>6472</v>
      </c>
      <c r="AC140" s="23">
        <v>2</v>
      </c>
      <c r="AD140" s="23">
        <v>19</v>
      </c>
    </row>
    <row r="141" spans="1:30">
      <c r="A141" s="2">
        <v>1986</v>
      </c>
      <c r="B141" s="2">
        <v>4</v>
      </c>
      <c r="U141" s="2">
        <v>1986</v>
      </c>
      <c r="V141" s="2">
        <v>4</v>
      </c>
      <c r="X141" s="17">
        <v>874896</v>
      </c>
      <c r="Y141" s="17">
        <v>95771</v>
      </c>
      <c r="Z141" s="18">
        <v>2699</v>
      </c>
      <c r="AA141" s="18">
        <v>1797</v>
      </c>
      <c r="AB141" s="18">
        <v>6497</v>
      </c>
      <c r="AC141" s="23">
        <v>2</v>
      </c>
      <c r="AD141" s="23">
        <v>19</v>
      </c>
    </row>
    <row r="142" spans="1:30">
      <c r="A142" s="2">
        <v>1986</v>
      </c>
      <c r="B142" s="2">
        <v>5</v>
      </c>
      <c r="U142" s="2">
        <v>1986</v>
      </c>
      <c r="V142" s="2">
        <v>5</v>
      </c>
      <c r="X142" s="17">
        <v>862285</v>
      </c>
      <c r="Y142" s="17">
        <v>96055</v>
      </c>
      <c r="Z142" s="18">
        <v>2695</v>
      </c>
      <c r="AA142" s="18">
        <v>1811</v>
      </c>
      <c r="AB142" s="18">
        <v>6549</v>
      </c>
      <c r="AC142" s="23">
        <v>2</v>
      </c>
      <c r="AD142" s="23">
        <v>12</v>
      </c>
    </row>
    <row r="143" spans="1:30">
      <c r="A143" s="2">
        <v>1986</v>
      </c>
      <c r="B143" s="2">
        <v>6</v>
      </c>
      <c r="U143" s="2">
        <v>1986</v>
      </c>
      <c r="V143" s="2">
        <v>6</v>
      </c>
      <c r="X143" s="17">
        <v>858639</v>
      </c>
      <c r="Y143" s="17">
        <v>96471</v>
      </c>
      <c r="Z143" s="18">
        <v>2704</v>
      </c>
      <c r="AA143" s="18">
        <v>1813</v>
      </c>
      <c r="AB143" s="18">
        <v>6597</v>
      </c>
      <c r="AC143" s="23">
        <v>2</v>
      </c>
      <c r="AD143" s="23">
        <v>13</v>
      </c>
    </row>
    <row r="144" spans="1:30">
      <c r="A144" s="2">
        <v>1986</v>
      </c>
      <c r="B144" s="2">
        <v>7</v>
      </c>
      <c r="U144" s="2">
        <v>1986</v>
      </c>
      <c r="V144" s="2">
        <v>7</v>
      </c>
      <c r="X144" s="17">
        <v>859827</v>
      </c>
      <c r="Y144" s="17">
        <v>96962</v>
      </c>
      <c r="Z144" s="18">
        <v>2702</v>
      </c>
      <c r="AA144" s="18">
        <v>1819</v>
      </c>
      <c r="AB144" s="18">
        <v>6602</v>
      </c>
      <c r="AC144" s="23">
        <v>2</v>
      </c>
      <c r="AD144" s="23">
        <v>14</v>
      </c>
    </row>
    <row r="145" spans="1:30">
      <c r="A145" s="2">
        <v>1986</v>
      </c>
      <c r="B145" s="2">
        <v>8</v>
      </c>
      <c r="U145" s="2">
        <v>1986</v>
      </c>
      <c r="V145" s="2">
        <v>8</v>
      </c>
      <c r="X145" s="17">
        <v>862022</v>
      </c>
      <c r="Y145" s="17">
        <v>97439</v>
      </c>
      <c r="Z145" s="18">
        <v>2710</v>
      </c>
      <c r="AA145" s="18">
        <v>1832</v>
      </c>
      <c r="AB145" s="18">
        <v>6631</v>
      </c>
      <c r="AC145" s="23">
        <v>2</v>
      </c>
      <c r="AD145" s="23">
        <v>14</v>
      </c>
    </row>
    <row r="146" spans="1:30">
      <c r="A146" s="2">
        <v>1986</v>
      </c>
      <c r="B146" s="2">
        <v>9</v>
      </c>
      <c r="U146" s="2">
        <v>1986</v>
      </c>
      <c r="V146" s="2">
        <v>9</v>
      </c>
      <c r="X146" s="17">
        <v>866581</v>
      </c>
      <c r="Y146" s="17">
        <v>97968</v>
      </c>
      <c r="Z146" s="18">
        <v>2718</v>
      </c>
      <c r="AA146" s="18">
        <v>1856</v>
      </c>
      <c r="AB146" s="18">
        <v>6694</v>
      </c>
      <c r="AC146" s="23">
        <v>2</v>
      </c>
      <c r="AD146" s="23">
        <v>14</v>
      </c>
    </row>
    <row r="147" spans="1:30">
      <c r="A147" s="2">
        <v>1986</v>
      </c>
      <c r="B147" s="2">
        <v>10</v>
      </c>
      <c r="U147" s="2">
        <v>1986</v>
      </c>
      <c r="V147" s="2">
        <v>10</v>
      </c>
      <c r="X147" s="17">
        <v>872584</v>
      </c>
      <c r="Y147" s="17">
        <v>98384</v>
      </c>
      <c r="Z147" s="18">
        <v>2715</v>
      </c>
      <c r="AA147" s="18">
        <v>1873</v>
      </c>
      <c r="AB147" s="18">
        <v>6731</v>
      </c>
      <c r="AC147" s="23">
        <v>2</v>
      </c>
      <c r="AD147" s="23">
        <v>14</v>
      </c>
    </row>
    <row r="148" spans="1:30">
      <c r="A148" s="2">
        <v>1986</v>
      </c>
      <c r="B148" s="2">
        <v>11</v>
      </c>
      <c r="U148" s="2">
        <v>1986</v>
      </c>
      <c r="V148" s="2">
        <v>11</v>
      </c>
      <c r="X148" s="17">
        <v>886344</v>
      </c>
      <c r="Y148" s="17">
        <v>99063</v>
      </c>
      <c r="Z148" s="18">
        <v>2718</v>
      </c>
      <c r="AA148" s="18">
        <v>1876</v>
      </c>
      <c r="AB148" s="18">
        <v>6779</v>
      </c>
      <c r="AC148" s="23">
        <v>2</v>
      </c>
      <c r="AD148" s="23">
        <v>14</v>
      </c>
    </row>
    <row r="149" spans="1:30">
      <c r="A149" s="2">
        <v>1986</v>
      </c>
      <c r="B149" s="2">
        <v>12</v>
      </c>
      <c r="U149" s="2">
        <v>1986</v>
      </c>
      <c r="V149" s="2">
        <v>12</v>
      </c>
      <c r="X149" s="17">
        <v>898379</v>
      </c>
      <c r="Y149" s="17">
        <v>99576</v>
      </c>
      <c r="Z149" s="18">
        <v>2769</v>
      </c>
      <c r="AA149" s="18">
        <v>1888</v>
      </c>
      <c r="AB149" s="18">
        <v>6813</v>
      </c>
      <c r="AC149" s="23">
        <v>2</v>
      </c>
      <c r="AD149" s="23">
        <v>14</v>
      </c>
    </row>
    <row r="150" spans="1:30">
      <c r="A150" s="2">
        <v>1987</v>
      </c>
      <c r="B150" s="2">
        <v>1</v>
      </c>
      <c r="U150" s="2">
        <v>1987</v>
      </c>
      <c r="V150" s="2">
        <v>1</v>
      </c>
      <c r="X150" s="17">
        <v>907206</v>
      </c>
      <c r="Y150" s="17">
        <v>99818</v>
      </c>
      <c r="Z150" s="18">
        <v>2816</v>
      </c>
      <c r="AA150" s="18">
        <v>1899</v>
      </c>
      <c r="AB150" s="18">
        <v>6848</v>
      </c>
      <c r="AC150" s="23">
        <v>2</v>
      </c>
      <c r="AD150" s="23">
        <v>15</v>
      </c>
    </row>
    <row r="151" spans="1:30">
      <c r="A151" s="2">
        <v>1987</v>
      </c>
      <c r="B151" s="2">
        <v>2</v>
      </c>
      <c r="U151" s="2">
        <v>1987</v>
      </c>
      <c r="V151" s="2">
        <v>2</v>
      </c>
      <c r="X151" s="17">
        <v>912649</v>
      </c>
      <c r="Y151" s="17">
        <v>100355</v>
      </c>
      <c r="Z151" s="18">
        <v>2854</v>
      </c>
      <c r="AA151" s="18">
        <v>1914</v>
      </c>
      <c r="AB151" s="18">
        <v>6874</v>
      </c>
      <c r="AC151" s="23">
        <v>2</v>
      </c>
      <c r="AD151" s="23">
        <v>15</v>
      </c>
    </row>
    <row r="152" spans="1:30">
      <c r="A152" s="2">
        <v>1987</v>
      </c>
      <c r="B152" s="2">
        <v>3</v>
      </c>
      <c r="U152" s="2">
        <v>1987</v>
      </c>
      <c r="V152" s="2">
        <v>3</v>
      </c>
      <c r="X152" s="17">
        <v>915593</v>
      </c>
      <c r="Y152" s="17">
        <v>100874</v>
      </c>
      <c r="Z152" s="18">
        <v>2850</v>
      </c>
      <c r="AA152" s="18">
        <v>1910</v>
      </c>
      <c r="AB152" s="18">
        <v>6907</v>
      </c>
      <c r="AC152" s="23">
        <v>2</v>
      </c>
      <c r="AD152" s="23">
        <v>15</v>
      </c>
    </row>
    <row r="153" spans="1:30">
      <c r="A153" s="2">
        <v>1987</v>
      </c>
      <c r="B153" s="2">
        <v>4</v>
      </c>
      <c r="U153" s="2">
        <v>1987</v>
      </c>
      <c r="V153" s="2">
        <v>4</v>
      </c>
      <c r="X153" s="17">
        <v>911637</v>
      </c>
      <c r="Y153" s="17">
        <v>101482</v>
      </c>
      <c r="Z153" s="18">
        <v>2872</v>
      </c>
      <c r="AA153" s="18">
        <v>1917</v>
      </c>
      <c r="AB153" s="18">
        <v>6982</v>
      </c>
      <c r="AC153" s="23">
        <v>2</v>
      </c>
      <c r="AD153" s="23">
        <v>15</v>
      </c>
    </row>
    <row r="154" spans="1:30">
      <c r="A154" s="2">
        <v>1987</v>
      </c>
      <c r="B154" s="2">
        <v>5</v>
      </c>
      <c r="U154" s="2">
        <v>1987</v>
      </c>
      <c r="V154" s="2">
        <v>5</v>
      </c>
      <c r="X154" s="17">
        <v>897058</v>
      </c>
      <c r="Y154" s="17">
        <v>101665</v>
      </c>
      <c r="Z154" s="18">
        <v>2873</v>
      </c>
      <c r="AA154" s="18">
        <v>1922</v>
      </c>
      <c r="AB154" s="18">
        <v>7011</v>
      </c>
      <c r="AC154" s="23">
        <v>2</v>
      </c>
      <c r="AD154" s="23">
        <v>14</v>
      </c>
    </row>
    <row r="155" spans="1:30">
      <c r="A155" s="2">
        <v>1987</v>
      </c>
      <c r="B155" s="2">
        <v>6</v>
      </c>
      <c r="U155" s="2">
        <v>1987</v>
      </c>
      <c r="V155" s="2">
        <v>6</v>
      </c>
      <c r="X155" s="17">
        <v>895849</v>
      </c>
      <c r="Y155" s="17">
        <v>102486</v>
      </c>
      <c r="Z155" s="18">
        <v>2880</v>
      </c>
      <c r="AA155" s="18">
        <v>1936</v>
      </c>
      <c r="AB155" s="18">
        <v>7075</v>
      </c>
      <c r="AC155" s="23">
        <v>2</v>
      </c>
      <c r="AD155" s="23">
        <v>15</v>
      </c>
    </row>
    <row r="156" spans="1:30">
      <c r="A156" s="2">
        <v>1987</v>
      </c>
      <c r="B156" s="2">
        <v>7</v>
      </c>
      <c r="U156" s="2">
        <v>1987</v>
      </c>
      <c r="V156" s="2">
        <v>7</v>
      </c>
      <c r="X156" s="17">
        <v>895833</v>
      </c>
      <c r="Y156" s="17">
        <v>102883</v>
      </c>
      <c r="Z156" s="18">
        <v>2872</v>
      </c>
      <c r="AA156" s="18">
        <v>1938</v>
      </c>
      <c r="AB156" s="18">
        <v>7096</v>
      </c>
      <c r="AC156" s="23">
        <v>2</v>
      </c>
      <c r="AD156" s="23">
        <v>16</v>
      </c>
    </row>
    <row r="157" spans="1:30">
      <c r="A157" s="2">
        <v>1987</v>
      </c>
      <c r="B157" s="2">
        <v>8</v>
      </c>
      <c r="U157" s="2">
        <v>1987</v>
      </c>
      <c r="V157" s="2">
        <v>8</v>
      </c>
      <c r="X157" s="17">
        <v>898878</v>
      </c>
      <c r="Y157" s="17">
        <v>103348</v>
      </c>
      <c r="Z157" s="18">
        <v>2880</v>
      </c>
      <c r="AA157" s="18">
        <v>1944</v>
      </c>
      <c r="AB157" s="18">
        <v>7150</v>
      </c>
      <c r="AC157" s="23">
        <v>2</v>
      </c>
      <c r="AD157" s="23">
        <v>15</v>
      </c>
    </row>
    <row r="158" spans="1:30">
      <c r="A158" s="2">
        <v>1987</v>
      </c>
      <c r="B158" s="2">
        <v>9</v>
      </c>
      <c r="U158" s="2">
        <v>1987</v>
      </c>
      <c r="V158" s="2">
        <v>9</v>
      </c>
      <c r="X158" s="17">
        <v>901670</v>
      </c>
      <c r="Y158" s="17">
        <v>103862</v>
      </c>
      <c r="Z158" s="18">
        <v>2881</v>
      </c>
      <c r="AA158" s="18">
        <v>1950</v>
      </c>
      <c r="AB158" s="18">
        <v>7221</v>
      </c>
      <c r="AC158" s="23">
        <v>2</v>
      </c>
      <c r="AD158" s="23">
        <v>16</v>
      </c>
    </row>
    <row r="159" spans="1:30">
      <c r="A159" s="2">
        <v>1987</v>
      </c>
      <c r="B159" s="2">
        <v>10</v>
      </c>
      <c r="U159" s="2">
        <v>1987</v>
      </c>
      <c r="V159" s="2">
        <v>10</v>
      </c>
      <c r="X159" s="17">
        <v>907632</v>
      </c>
      <c r="Y159" s="17">
        <v>104189</v>
      </c>
      <c r="Z159" s="18">
        <v>2890</v>
      </c>
      <c r="AA159" s="18">
        <v>1951</v>
      </c>
      <c r="AB159" s="18">
        <v>7240</v>
      </c>
      <c r="AC159" s="23">
        <v>2</v>
      </c>
      <c r="AD159" s="23">
        <v>16</v>
      </c>
    </row>
    <row r="160" spans="1:30">
      <c r="A160" s="2">
        <v>1987</v>
      </c>
      <c r="B160" s="2">
        <v>11</v>
      </c>
      <c r="U160" s="2">
        <v>1987</v>
      </c>
      <c r="V160" s="2">
        <v>11</v>
      </c>
      <c r="X160" s="17">
        <v>921379</v>
      </c>
      <c r="Y160" s="17">
        <v>104661</v>
      </c>
      <c r="Z160" s="18">
        <v>2901</v>
      </c>
      <c r="AA160" s="18">
        <v>1954</v>
      </c>
      <c r="AB160" s="18">
        <v>7332</v>
      </c>
      <c r="AC160" s="23">
        <v>2</v>
      </c>
      <c r="AD160" s="23">
        <v>16</v>
      </c>
    </row>
    <row r="161" spans="1:30">
      <c r="A161" s="2">
        <v>1987</v>
      </c>
      <c r="B161" s="2">
        <v>12</v>
      </c>
      <c r="U161" s="2">
        <v>1987</v>
      </c>
      <c r="V161" s="2">
        <v>12</v>
      </c>
      <c r="X161" s="17">
        <v>931574</v>
      </c>
      <c r="Y161" s="17">
        <v>104681</v>
      </c>
      <c r="Z161" s="18">
        <v>2951</v>
      </c>
      <c r="AA161" s="18">
        <v>1986</v>
      </c>
      <c r="AB161" s="18">
        <v>7421</v>
      </c>
      <c r="AC161" s="23">
        <v>2</v>
      </c>
      <c r="AD161" s="23">
        <v>16</v>
      </c>
    </row>
    <row r="162" spans="1:30">
      <c r="A162" s="2">
        <v>1988</v>
      </c>
      <c r="B162" s="2">
        <v>1</v>
      </c>
      <c r="U162" s="2">
        <v>1988</v>
      </c>
      <c r="V162" s="2">
        <v>1</v>
      </c>
      <c r="X162" s="17">
        <v>941768</v>
      </c>
      <c r="Y162" s="17">
        <v>104701</v>
      </c>
      <c r="Z162" s="18">
        <v>2909</v>
      </c>
      <c r="AA162" s="18">
        <v>1968</v>
      </c>
      <c r="AB162" s="18">
        <v>7402</v>
      </c>
      <c r="AC162" s="23">
        <v>1</v>
      </c>
      <c r="AD162" s="23">
        <v>14</v>
      </c>
    </row>
    <row r="163" spans="1:30">
      <c r="A163" s="2">
        <v>1988</v>
      </c>
      <c r="B163" s="2">
        <v>2</v>
      </c>
      <c r="U163" s="2">
        <v>1988</v>
      </c>
      <c r="V163" s="2">
        <v>2</v>
      </c>
      <c r="X163" s="17">
        <v>946922</v>
      </c>
      <c r="Y163" s="17">
        <v>105289</v>
      </c>
      <c r="Z163" s="18">
        <v>2916</v>
      </c>
      <c r="AA163" s="18">
        <v>1984</v>
      </c>
      <c r="AB163" s="18">
        <v>7476</v>
      </c>
      <c r="AC163" s="23">
        <v>2</v>
      </c>
      <c r="AD163" s="23">
        <v>14</v>
      </c>
    </row>
    <row r="164" spans="1:30">
      <c r="A164" s="2">
        <v>1988</v>
      </c>
      <c r="B164" s="2">
        <v>3</v>
      </c>
      <c r="U164" s="2">
        <v>1988</v>
      </c>
      <c r="V164" s="2">
        <v>3</v>
      </c>
      <c r="X164" s="17">
        <v>949289</v>
      </c>
      <c r="Y164" s="17">
        <v>105665</v>
      </c>
      <c r="Z164" s="18">
        <v>2938</v>
      </c>
      <c r="AA164" s="18">
        <v>2007</v>
      </c>
      <c r="AB164" s="18">
        <v>7511</v>
      </c>
      <c r="AC164" s="23">
        <v>2</v>
      </c>
      <c r="AD164" s="23">
        <v>14</v>
      </c>
    </row>
    <row r="165" spans="1:30">
      <c r="A165" s="2">
        <v>1988</v>
      </c>
      <c r="B165" s="2">
        <v>4</v>
      </c>
      <c r="U165" s="2">
        <v>1988</v>
      </c>
      <c r="V165" s="2">
        <v>4</v>
      </c>
      <c r="X165" s="17">
        <v>943760</v>
      </c>
      <c r="Y165" s="17">
        <v>105868</v>
      </c>
      <c r="Z165" s="18">
        <v>2931</v>
      </c>
      <c r="AA165" s="18">
        <v>2021</v>
      </c>
      <c r="AB165" s="18">
        <v>7566</v>
      </c>
      <c r="AC165" s="23">
        <v>2</v>
      </c>
      <c r="AD165" s="23">
        <v>14</v>
      </c>
    </row>
    <row r="166" spans="1:30">
      <c r="A166" s="2">
        <v>1988</v>
      </c>
      <c r="B166" s="2">
        <v>5</v>
      </c>
      <c r="U166" s="2">
        <v>1988</v>
      </c>
      <c r="V166" s="2">
        <v>5</v>
      </c>
      <c r="X166" s="17">
        <v>930610</v>
      </c>
      <c r="Y166" s="17">
        <v>106211</v>
      </c>
      <c r="Z166" s="18">
        <v>2949</v>
      </c>
      <c r="AA166" s="18">
        <v>2037</v>
      </c>
      <c r="AB166" s="18">
        <v>7603</v>
      </c>
      <c r="AC166" s="23">
        <v>2</v>
      </c>
      <c r="AD166" s="23">
        <v>14</v>
      </c>
    </row>
    <row r="167" spans="1:30">
      <c r="A167" s="2">
        <v>1988</v>
      </c>
      <c r="B167" s="2">
        <v>6</v>
      </c>
      <c r="U167" s="2">
        <v>1988</v>
      </c>
      <c r="V167" s="2">
        <v>6</v>
      </c>
      <c r="X167" s="17">
        <v>927520</v>
      </c>
      <c r="Y167" s="17">
        <v>106616</v>
      </c>
      <c r="Z167" s="18">
        <v>2935</v>
      </c>
      <c r="AA167" s="18">
        <v>2036</v>
      </c>
      <c r="AB167" s="18">
        <v>7616</v>
      </c>
      <c r="AC167" s="23">
        <v>2</v>
      </c>
      <c r="AD167" s="23">
        <v>15</v>
      </c>
    </row>
    <row r="168" spans="1:30">
      <c r="A168" s="2">
        <v>1988</v>
      </c>
      <c r="B168" s="2">
        <v>7</v>
      </c>
      <c r="U168" s="2">
        <v>1988</v>
      </c>
      <c r="V168" s="2">
        <v>7</v>
      </c>
      <c r="X168" s="17">
        <v>928621</v>
      </c>
      <c r="Y168" s="17">
        <v>106931</v>
      </c>
      <c r="Z168" s="18">
        <v>2914</v>
      </c>
      <c r="AA168" s="18">
        <v>2056</v>
      </c>
      <c r="AB168" s="18">
        <v>7627</v>
      </c>
      <c r="AC168" s="23">
        <v>2</v>
      </c>
      <c r="AD168" s="23">
        <v>15</v>
      </c>
    </row>
    <row r="169" spans="1:30">
      <c r="A169" s="2">
        <v>1988</v>
      </c>
      <c r="B169" s="2">
        <v>8</v>
      </c>
      <c r="U169" s="2">
        <v>1988</v>
      </c>
      <c r="V169" s="2">
        <v>8</v>
      </c>
      <c r="X169" s="17">
        <v>931203</v>
      </c>
      <c r="Y169" s="17">
        <v>107491</v>
      </c>
      <c r="Z169" s="18">
        <v>2929</v>
      </c>
      <c r="AA169" s="18">
        <v>2069</v>
      </c>
      <c r="AB169" s="18">
        <v>7664</v>
      </c>
      <c r="AC169" s="23">
        <v>2</v>
      </c>
      <c r="AD169" s="23">
        <v>15</v>
      </c>
    </row>
    <row r="170" spans="1:30">
      <c r="A170" s="2">
        <v>1988</v>
      </c>
      <c r="B170" s="2">
        <v>9</v>
      </c>
      <c r="U170" s="2">
        <v>1988</v>
      </c>
      <c r="V170" s="2">
        <v>9</v>
      </c>
      <c r="X170" s="17">
        <v>934277</v>
      </c>
      <c r="Y170" s="17">
        <v>107933</v>
      </c>
      <c r="Z170" s="18">
        <v>2961</v>
      </c>
      <c r="AA170" s="18">
        <v>2067</v>
      </c>
      <c r="AB170" s="18">
        <v>7725</v>
      </c>
      <c r="AC170" s="23">
        <v>2</v>
      </c>
      <c r="AD170" s="23">
        <v>15</v>
      </c>
    </row>
    <row r="171" spans="1:30">
      <c r="A171" s="2">
        <v>1988</v>
      </c>
      <c r="B171" s="2">
        <v>10</v>
      </c>
      <c r="U171" s="2">
        <v>1988</v>
      </c>
      <c r="V171" s="2">
        <v>10</v>
      </c>
      <c r="X171" s="17">
        <v>941796</v>
      </c>
      <c r="Y171" s="17">
        <v>108210</v>
      </c>
      <c r="Z171" s="18">
        <v>2966</v>
      </c>
      <c r="AA171" s="18">
        <v>2074</v>
      </c>
      <c r="AB171" s="18">
        <v>7777</v>
      </c>
      <c r="AC171" s="23">
        <v>2</v>
      </c>
      <c r="AD171" s="23">
        <v>15</v>
      </c>
    </row>
    <row r="172" spans="1:30">
      <c r="A172" s="2">
        <v>1988</v>
      </c>
      <c r="B172" s="2">
        <v>11</v>
      </c>
      <c r="U172" s="2">
        <v>1988</v>
      </c>
      <c r="V172" s="2">
        <v>11</v>
      </c>
      <c r="X172" s="17">
        <v>954897</v>
      </c>
      <c r="Y172" s="17">
        <v>108816</v>
      </c>
      <c r="Z172" s="18">
        <v>2971</v>
      </c>
      <c r="AA172" s="18">
        <v>2074</v>
      </c>
      <c r="AB172" s="18">
        <v>7831</v>
      </c>
      <c r="AC172" s="23">
        <v>2</v>
      </c>
      <c r="AD172" s="23">
        <v>14</v>
      </c>
    </row>
    <row r="173" spans="1:30">
      <c r="A173" s="2">
        <v>1988</v>
      </c>
      <c r="B173" s="2">
        <v>12</v>
      </c>
      <c r="U173" s="2">
        <v>1988</v>
      </c>
      <c r="V173" s="2">
        <v>12</v>
      </c>
      <c r="X173" s="17">
        <v>966602</v>
      </c>
      <c r="Y173" s="17">
        <v>109054</v>
      </c>
      <c r="Z173" s="18">
        <v>2989</v>
      </c>
      <c r="AA173" s="18">
        <v>2068</v>
      </c>
      <c r="AB173" s="18">
        <v>7831</v>
      </c>
      <c r="AC173" s="23">
        <v>2</v>
      </c>
      <c r="AD173" s="23">
        <v>14</v>
      </c>
    </row>
    <row r="174" spans="1:30">
      <c r="A174" s="2">
        <v>1989</v>
      </c>
      <c r="B174" s="2">
        <v>1</v>
      </c>
      <c r="U174" s="2">
        <v>1989</v>
      </c>
      <c r="V174" s="2">
        <v>1</v>
      </c>
      <c r="X174" s="17">
        <v>975763</v>
      </c>
      <c r="Y174" s="17">
        <v>109333</v>
      </c>
      <c r="Z174" s="18">
        <v>2977</v>
      </c>
      <c r="AA174" s="18">
        <v>2086</v>
      </c>
      <c r="AB174" s="18">
        <v>7876</v>
      </c>
      <c r="AC174" s="23">
        <v>2</v>
      </c>
      <c r="AD174" s="23">
        <v>14</v>
      </c>
    </row>
    <row r="175" spans="1:30">
      <c r="A175" s="2">
        <v>1989</v>
      </c>
      <c r="B175" s="2">
        <v>2</v>
      </c>
      <c r="U175" s="2">
        <v>1989</v>
      </c>
      <c r="V175" s="2">
        <v>2</v>
      </c>
      <c r="X175" s="17">
        <v>980025</v>
      </c>
      <c r="Y175" s="17">
        <v>109488</v>
      </c>
      <c r="Z175" s="18">
        <v>2983</v>
      </c>
      <c r="AA175" s="18">
        <v>2097</v>
      </c>
      <c r="AB175" s="18">
        <v>7907</v>
      </c>
      <c r="AC175" s="23">
        <v>2</v>
      </c>
      <c r="AD175" s="23">
        <v>14</v>
      </c>
    </row>
    <row r="176" spans="1:30">
      <c r="A176" s="2">
        <v>1989</v>
      </c>
      <c r="B176" s="2">
        <v>3</v>
      </c>
      <c r="U176" s="2">
        <v>1989</v>
      </c>
      <c r="V176" s="2">
        <v>3</v>
      </c>
      <c r="X176" s="17">
        <v>983161</v>
      </c>
      <c r="Y176" s="17">
        <v>109950</v>
      </c>
      <c r="Z176" s="18">
        <v>2990</v>
      </c>
      <c r="AA176" s="18">
        <v>2106</v>
      </c>
      <c r="AB176" s="18">
        <v>7967</v>
      </c>
      <c r="AC176" s="23">
        <v>2</v>
      </c>
      <c r="AD176" s="23">
        <v>14</v>
      </c>
    </row>
    <row r="177" spans="1:30">
      <c r="A177" s="2">
        <v>1989</v>
      </c>
      <c r="B177" s="2">
        <v>4</v>
      </c>
      <c r="U177" s="2">
        <v>1989</v>
      </c>
      <c r="V177" s="2">
        <v>4</v>
      </c>
      <c r="X177" s="17">
        <v>980861</v>
      </c>
      <c r="Y177" s="17">
        <v>110432</v>
      </c>
      <c r="Z177" s="18">
        <v>2997</v>
      </c>
      <c r="AA177" s="18">
        <v>2123</v>
      </c>
      <c r="AB177" s="18">
        <v>7994</v>
      </c>
      <c r="AC177" s="23">
        <v>2</v>
      </c>
      <c r="AD177" s="23">
        <v>14</v>
      </c>
    </row>
    <row r="178" spans="1:30">
      <c r="A178" s="2">
        <v>1989</v>
      </c>
      <c r="B178" s="2">
        <v>5</v>
      </c>
      <c r="U178" s="2">
        <v>1989</v>
      </c>
      <c r="V178" s="2">
        <v>5</v>
      </c>
      <c r="X178" s="17">
        <v>967873</v>
      </c>
      <c r="Y178" s="17">
        <v>110709</v>
      </c>
      <c r="Z178" s="18">
        <v>2993</v>
      </c>
      <c r="AA178" s="18">
        <v>2131</v>
      </c>
      <c r="AB178" s="18">
        <v>8040</v>
      </c>
      <c r="AC178" s="23">
        <v>2</v>
      </c>
      <c r="AD178" s="23">
        <v>14</v>
      </c>
    </row>
    <row r="179" spans="1:30">
      <c r="A179" s="2">
        <v>1989</v>
      </c>
      <c r="B179" s="2">
        <v>6</v>
      </c>
      <c r="U179" s="2">
        <v>1989</v>
      </c>
      <c r="V179" s="2">
        <v>6</v>
      </c>
      <c r="X179" s="17">
        <v>964424</v>
      </c>
      <c r="Y179" s="17">
        <v>111053</v>
      </c>
      <c r="Z179" s="18">
        <v>3006</v>
      </c>
      <c r="AA179" s="18">
        <v>2144</v>
      </c>
      <c r="AB179" s="18">
        <v>8048</v>
      </c>
      <c r="AC179" s="23">
        <v>2</v>
      </c>
      <c r="AD179" s="23">
        <v>14</v>
      </c>
    </row>
    <row r="180" spans="1:30">
      <c r="A180" s="2">
        <v>1989</v>
      </c>
      <c r="B180" s="2">
        <v>7</v>
      </c>
      <c r="U180" s="2">
        <v>1989</v>
      </c>
      <c r="V180" s="2">
        <v>7</v>
      </c>
      <c r="X180" s="17">
        <v>965107</v>
      </c>
      <c r="Y180" s="17">
        <v>111217</v>
      </c>
      <c r="Z180" s="18">
        <v>3040</v>
      </c>
      <c r="AA180" s="18">
        <v>2158</v>
      </c>
      <c r="AB180" s="18">
        <v>8083</v>
      </c>
      <c r="AC180" s="23">
        <v>2</v>
      </c>
      <c r="AD180" s="23">
        <v>14</v>
      </c>
    </row>
    <row r="181" spans="1:30">
      <c r="A181" s="2">
        <v>1989</v>
      </c>
      <c r="B181" s="2">
        <v>8</v>
      </c>
      <c r="U181" s="2">
        <v>1989</v>
      </c>
      <c r="V181" s="2">
        <v>8</v>
      </c>
      <c r="X181" s="17">
        <v>967667</v>
      </c>
      <c r="Y181" s="17">
        <v>111463</v>
      </c>
      <c r="Z181" s="18">
        <v>3039</v>
      </c>
      <c r="AA181" s="18">
        <v>2168</v>
      </c>
      <c r="AB181" s="18">
        <v>8143</v>
      </c>
      <c r="AC181" s="23">
        <v>2</v>
      </c>
      <c r="AD181" s="23">
        <v>14</v>
      </c>
    </row>
    <row r="182" spans="1:30">
      <c r="A182" s="2">
        <v>1989</v>
      </c>
      <c r="B182" s="2">
        <v>9</v>
      </c>
      <c r="U182" s="2">
        <v>1989</v>
      </c>
      <c r="V182" s="2">
        <v>9</v>
      </c>
      <c r="X182" s="17">
        <v>971444</v>
      </c>
      <c r="Y182" s="17">
        <v>111818</v>
      </c>
      <c r="Z182" s="18">
        <v>3047</v>
      </c>
      <c r="AA182" s="18">
        <v>2175</v>
      </c>
      <c r="AB182" s="18">
        <v>8265</v>
      </c>
      <c r="AC182" s="23">
        <v>2</v>
      </c>
      <c r="AD182" s="23">
        <v>13</v>
      </c>
    </row>
    <row r="183" spans="1:30">
      <c r="A183" s="2">
        <v>1989</v>
      </c>
      <c r="B183" s="2">
        <v>10</v>
      </c>
      <c r="U183" s="2">
        <v>1989</v>
      </c>
      <c r="V183" s="2">
        <v>10</v>
      </c>
      <c r="X183" s="17">
        <v>978074</v>
      </c>
      <c r="Y183" s="17">
        <v>112092</v>
      </c>
      <c r="Z183" s="18">
        <v>3060</v>
      </c>
      <c r="AA183" s="18">
        <v>2178</v>
      </c>
      <c r="AB183" s="18">
        <v>8274</v>
      </c>
      <c r="AC183" s="23">
        <v>2</v>
      </c>
      <c r="AD183" s="23">
        <v>14</v>
      </c>
    </row>
    <row r="184" spans="1:30">
      <c r="A184" s="2">
        <v>1989</v>
      </c>
      <c r="B184" s="2">
        <v>11</v>
      </c>
      <c r="U184" s="2">
        <v>1989</v>
      </c>
      <c r="V184" s="2">
        <v>11</v>
      </c>
      <c r="X184" s="17">
        <v>992296</v>
      </c>
      <c r="Y184" s="17">
        <v>112655</v>
      </c>
      <c r="Z184" s="18">
        <v>3055</v>
      </c>
      <c r="AA184" s="18">
        <v>2185</v>
      </c>
      <c r="AB184" s="18">
        <v>8309</v>
      </c>
      <c r="AC184" s="23">
        <v>2</v>
      </c>
      <c r="AD184" s="23">
        <v>14</v>
      </c>
    </row>
    <row r="185" spans="1:30">
      <c r="A185" s="2">
        <v>1989</v>
      </c>
      <c r="B185" s="2">
        <v>12</v>
      </c>
      <c r="U185" s="2">
        <v>1989</v>
      </c>
      <c r="V185" s="2">
        <v>12</v>
      </c>
      <c r="X185" s="17">
        <v>1002694</v>
      </c>
      <c r="Y185" s="17">
        <v>112732</v>
      </c>
      <c r="Z185" s="18">
        <v>3060</v>
      </c>
      <c r="AA185" s="18">
        <v>2187</v>
      </c>
      <c r="AB185" s="18">
        <v>8390</v>
      </c>
      <c r="AC185" s="23">
        <v>2</v>
      </c>
      <c r="AD185" s="23">
        <v>13</v>
      </c>
    </row>
    <row r="186" spans="1:30">
      <c r="A186" s="2">
        <v>1990</v>
      </c>
      <c r="B186" s="2">
        <v>1</v>
      </c>
      <c r="U186" s="2">
        <v>1990</v>
      </c>
      <c r="V186" s="2">
        <v>1</v>
      </c>
      <c r="X186" s="17">
        <v>1010128</v>
      </c>
      <c r="Y186" s="17">
        <v>112770</v>
      </c>
      <c r="Z186" s="18">
        <v>3059</v>
      </c>
      <c r="AA186" s="18">
        <v>2190</v>
      </c>
      <c r="AB186" s="18">
        <v>8447</v>
      </c>
      <c r="AC186" s="23">
        <v>2</v>
      </c>
      <c r="AD186" s="23">
        <v>13</v>
      </c>
    </row>
    <row r="187" spans="1:30">
      <c r="A187" s="2">
        <v>1990</v>
      </c>
      <c r="B187" s="2">
        <v>2</v>
      </c>
      <c r="U187" s="2">
        <v>1990</v>
      </c>
      <c r="V187" s="2">
        <v>2</v>
      </c>
      <c r="X187" s="17">
        <v>1014817</v>
      </c>
      <c r="Y187" s="17">
        <v>112762</v>
      </c>
      <c r="Z187" s="18">
        <v>3098</v>
      </c>
      <c r="AA187" s="18">
        <v>2202</v>
      </c>
      <c r="AB187" s="18">
        <v>8509</v>
      </c>
      <c r="AC187" s="23">
        <v>2</v>
      </c>
      <c r="AD187" s="23">
        <v>15</v>
      </c>
    </row>
    <row r="188" spans="1:30">
      <c r="A188" s="2">
        <v>1990</v>
      </c>
      <c r="B188" s="2">
        <v>3</v>
      </c>
      <c r="U188" s="2">
        <v>1990</v>
      </c>
      <c r="V188" s="2">
        <v>3</v>
      </c>
      <c r="X188" s="17">
        <v>1017728</v>
      </c>
      <c r="Y188" s="17">
        <v>112986</v>
      </c>
      <c r="Z188" s="18">
        <v>3116</v>
      </c>
      <c r="AA188" s="18">
        <v>2217</v>
      </c>
      <c r="AB188" s="18">
        <v>8567</v>
      </c>
      <c r="AC188" s="23">
        <v>2</v>
      </c>
      <c r="AD188" s="23">
        <v>15</v>
      </c>
    </row>
    <row r="189" spans="1:30">
      <c r="A189" s="2">
        <v>1990</v>
      </c>
      <c r="B189" s="2">
        <v>4</v>
      </c>
      <c r="U189" s="2">
        <v>1990</v>
      </c>
      <c r="V189" s="2">
        <v>4</v>
      </c>
      <c r="X189" s="17">
        <v>1012501</v>
      </c>
      <c r="Y189" s="17">
        <v>113305</v>
      </c>
      <c r="Z189" s="18">
        <v>3130</v>
      </c>
      <c r="AA189" s="18">
        <v>2229</v>
      </c>
      <c r="AB189" s="18">
        <v>8608</v>
      </c>
      <c r="AC189" s="23">
        <v>2</v>
      </c>
      <c r="AD189" s="23">
        <v>15</v>
      </c>
    </row>
    <row r="190" spans="1:30">
      <c r="A190" s="2">
        <v>1990</v>
      </c>
      <c r="B190" s="2">
        <v>5</v>
      </c>
      <c r="U190" s="2">
        <v>1990</v>
      </c>
      <c r="V190" s="2">
        <v>5</v>
      </c>
      <c r="X190" s="17">
        <v>998105</v>
      </c>
      <c r="Y190" s="17">
        <v>113274</v>
      </c>
      <c r="Z190" s="18">
        <v>3129</v>
      </c>
      <c r="AA190" s="18">
        <v>2252</v>
      </c>
      <c r="AB190" s="18">
        <v>8667</v>
      </c>
      <c r="AC190" s="23">
        <v>2</v>
      </c>
      <c r="AD190" s="23">
        <v>16</v>
      </c>
    </row>
    <row r="191" spans="1:30">
      <c r="A191" s="2">
        <v>1990</v>
      </c>
      <c r="B191" s="2">
        <v>6</v>
      </c>
      <c r="U191" s="2">
        <v>1990</v>
      </c>
      <c r="V191" s="2">
        <v>6</v>
      </c>
      <c r="X191" s="17">
        <v>994632</v>
      </c>
      <c r="Y191" s="17">
        <v>113572</v>
      </c>
      <c r="Z191" s="18">
        <v>3138</v>
      </c>
      <c r="AA191" s="18">
        <v>2266</v>
      </c>
      <c r="AB191" s="18">
        <v>8686</v>
      </c>
      <c r="AC191" s="23">
        <v>2</v>
      </c>
      <c r="AD191" s="23">
        <v>16</v>
      </c>
    </row>
    <row r="192" spans="1:30">
      <c r="A192" s="2">
        <v>1990</v>
      </c>
      <c r="B192" s="2">
        <v>7</v>
      </c>
      <c r="U192" s="2">
        <v>1990</v>
      </c>
      <c r="V192" s="2">
        <v>7</v>
      </c>
      <c r="X192" s="17">
        <v>995438</v>
      </c>
      <c r="Y192" s="17">
        <v>113726</v>
      </c>
      <c r="Z192" s="18">
        <v>3133</v>
      </c>
      <c r="AA192" s="18">
        <v>2280</v>
      </c>
      <c r="AB192" s="18">
        <v>8662</v>
      </c>
      <c r="AC192" s="23">
        <v>2</v>
      </c>
      <c r="AD192" s="23">
        <v>15</v>
      </c>
    </row>
    <row r="193" spans="1:31">
      <c r="A193" s="2">
        <v>1990</v>
      </c>
      <c r="B193" s="2">
        <v>8</v>
      </c>
      <c r="U193" s="2">
        <v>1990</v>
      </c>
      <c r="V193" s="2">
        <v>8</v>
      </c>
      <c r="X193" s="17">
        <v>997263</v>
      </c>
      <c r="Y193" s="17">
        <v>113857</v>
      </c>
      <c r="Z193" s="18">
        <v>3117</v>
      </c>
      <c r="AA193" s="18">
        <v>2285</v>
      </c>
      <c r="AB193" s="18">
        <v>8755</v>
      </c>
      <c r="AC193" s="23">
        <v>2</v>
      </c>
      <c r="AD193" s="23">
        <v>16</v>
      </c>
    </row>
    <row r="194" spans="1:31">
      <c r="A194" s="2">
        <v>1990</v>
      </c>
      <c r="B194" s="2">
        <v>9</v>
      </c>
      <c r="U194" s="2">
        <v>1990</v>
      </c>
      <c r="V194" s="2">
        <v>9</v>
      </c>
      <c r="X194" s="17">
        <v>999597</v>
      </c>
      <c r="Y194" s="17">
        <v>113986</v>
      </c>
      <c r="Z194" s="18">
        <v>3119</v>
      </c>
      <c r="AA194" s="18">
        <v>2285</v>
      </c>
      <c r="AB194" s="18">
        <v>8838</v>
      </c>
      <c r="AC194" s="23">
        <v>2</v>
      </c>
      <c r="AD194" s="23">
        <v>16</v>
      </c>
    </row>
    <row r="195" spans="1:31">
      <c r="A195" s="2">
        <v>1990</v>
      </c>
      <c r="B195" s="2">
        <v>10</v>
      </c>
      <c r="U195" s="2">
        <v>1990</v>
      </c>
      <c r="V195" s="2">
        <v>10</v>
      </c>
      <c r="X195" s="17">
        <v>1005342</v>
      </c>
      <c r="Y195" s="17">
        <v>114184</v>
      </c>
      <c r="Z195" s="18">
        <v>3115</v>
      </c>
      <c r="AA195" s="18">
        <v>2281</v>
      </c>
      <c r="AB195" s="18">
        <v>8891</v>
      </c>
      <c r="AC195" s="23">
        <v>2</v>
      </c>
      <c r="AD195" s="23">
        <v>16</v>
      </c>
    </row>
    <row r="196" spans="1:31">
      <c r="A196" s="2">
        <v>1990</v>
      </c>
      <c r="B196" s="2">
        <v>11</v>
      </c>
      <c r="U196" s="2">
        <v>1990</v>
      </c>
      <c r="V196" s="2">
        <v>11</v>
      </c>
      <c r="X196" s="17">
        <v>1018909</v>
      </c>
      <c r="Y196" s="17">
        <v>114354</v>
      </c>
      <c r="Z196" s="18">
        <v>3111</v>
      </c>
      <c r="AA196" s="18">
        <v>2282</v>
      </c>
      <c r="AB196" s="18">
        <v>8928</v>
      </c>
      <c r="AC196" s="23">
        <v>2</v>
      </c>
      <c r="AD196" s="23">
        <v>16</v>
      </c>
    </row>
    <row r="197" spans="1:31">
      <c r="A197" s="2">
        <v>1990</v>
      </c>
      <c r="B197" s="2">
        <v>12</v>
      </c>
      <c r="U197" s="2">
        <v>1990</v>
      </c>
      <c r="V197" s="2">
        <v>12</v>
      </c>
      <c r="X197" s="17">
        <v>1029206</v>
      </c>
      <c r="Y197" s="17">
        <v>114366</v>
      </c>
      <c r="Z197" s="18">
        <v>3113</v>
      </c>
      <c r="AA197" s="18">
        <v>2291</v>
      </c>
      <c r="AB197" s="18">
        <v>8972</v>
      </c>
      <c r="AC197" s="23">
        <v>2</v>
      </c>
      <c r="AD197" s="23">
        <v>16</v>
      </c>
      <c r="AE197" s="50"/>
    </row>
    <row r="198" spans="1:31">
      <c r="A198" s="2">
        <v>1991</v>
      </c>
      <c r="B198" s="2">
        <v>1</v>
      </c>
      <c r="U198" s="2">
        <v>1991</v>
      </c>
      <c r="V198" s="2">
        <v>1</v>
      </c>
      <c r="X198" s="17">
        <v>1036625</v>
      </c>
      <c r="Y198" s="17">
        <v>114039</v>
      </c>
      <c r="Z198" s="18">
        <v>3120</v>
      </c>
      <c r="AA198" s="18">
        <v>2299</v>
      </c>
      <c r="AB198" s="18">
        <v>9000</v>
      </c>
      <c r="AC198" s="23">
        <v>2</v>
      </c>
      <c r="AD198" s="23">
        <v>16</v>
      </c>
      <c r="AE198" s="50">
        <f t="shared" ref="AE198:AE204" si="0">AB198/AB186-1</f>
        <v>6.5467029714691538E-2</v>
      </c>
    </row>
    <row r="199" spans="1:31">
      <c r="A199" s="2">
        <v>1991</v>
      </c>
      <c r="B199" s="2">
        <v>2</v>
      </c>
      <c r="U199" s="2">
        <v>1991</v>
      </c>
      <c r="V199" s="2">
        <v>2</v>
      </c>
      <c r="X199" s="17">
        <v>1040827</v>
      </c>
      <c r="Y199" s="17">
        <v>114021</v>
      </c>
      <c r="Z199" s="18">
        <v>3112</v>
      </c>
      <c r="AA199" s="18">
        <v>2312</v>
      </c>
      <c r="AB199" s="18">
        <v>9031</v>
      </c>
      <c r="AC199" s="23">
        <v>2</v>
      </c>
      <c r="AD199" s="23">
        <v>16</v>
      </c>
      <c r="AE199" s="50">
        <f t="shared" si="0"/>
        <v>6.1346809260782731E-2</v>
      </c>
    </row>
    <row r="200" spans="1:31">
      <c r="A200" s="2">
        <v>1991</v>
      </c>
      <c r="B200" s="2">
        <v>3</v>
      </c>
      <c r="U200" s="2">
        <v>1991</v>
      </c>
      <c r="V200" s="2">
        <v>3</v>
      </c>
      <c r="X200" s="17">
        <v>1043366</v>
      </c>
      <c r="Y200" s="17">
        <v>113887</v>
      </c>
      <c r="Z200" s="18">
        <v>3113</v>
      </c>
      <c r="AA200" s="18">
        <v>2324</v>
      </c>
      <c r="AB200" s="18">
        <v>9071</v>
      </c>
      <c r="AC200" s="23">
        <v>2</v>
      </c>
      <c r="AD200" s="23">
        <v>15</v>
      </c>
      <c r="AE200" s="50">
        <f t="shared" si="0"/>
        <v>5.8830395704447369E-2</v>
      </c>
    </row>
    <row r="201" spans="1:31">
      <c r="A201" s="2">
        <v>1991</v>
      </c>
      <c r="B201" s="2">
        <v>4</v>
      </c>
      <c r="U201" s="2">
        <v>1991</v>
      </c>
      <c r="V201" s="2">
        <v>4</v>
      </c>
      <c r="X201" s="17">
        <v>1036148</v>
      </c>
      <c r="Y201" s="17">
        <v>113982</v>
      </c>
      <c r="Z201" s="18">
        <v>3115</v>
      </c>
      <c r="AA201" s="18">
        <v>2338</v>
      </c>
      <c r="AB201" s="18">
        <v>9099</v>
      </c>
      <c r="AC201" s="23">
        <v>2</v>
      </c>
      <c r="AD201" s="23">
        <v>15</v>
      </c>
      <c r="AE201" s="50">
        <f t="shared" si="0"/>
        <v>5.70399628252789E-2</v>
      </c>
    </row>
    <row r="202" spans="1:31">
      <c r="A202" s="2">
        <v>1991</v>
      </c>
      <c r="B202" s="2">
        <v>5</v>
      </c>
      <c r="U202" s="2">
        <v>1991</v>
      </c>
      <c r="V202" s="2">
        <v>5</v>
      </c>
      <c r="X202" s="17">
        <v>1021014</v>
      </c>
      <c r="Y202" s="17">
        <v>114314</v>
      </c>
      <c r="Z202" s="18">
        <v>3121</v>
      </c>
      <c r="AA202" s="18">
        <v>2347</v>
      </c>
      <c r="AB202" s="18">
        <v>9132</v>
      </c>
      <c r="AC202" s="23">
        <v>2</v>
      </c>
      <c r="AD202" s="23">
        <v>14</v>
      </c>
      <c r="AE202" s="50">
        <f t="shared" si="0"/>
        <v>5.3651782623745259E-2</v>
      </c>
    </row>
    <row r="203" spans="1:31">
      <c r="A203" s="2">
        <v>1991</v>
      </c>
      <c r="B203" s="2">
        <v>6</v>
      </c>
      <c r="U203" s="2">
        <v>1991</v>
      </c>
      <c r="V203" s="2">
        <v>6</v>
      </c>
      <c r="X203" s="17">
        <v>1016304</v>
      </c>
      <c r="Y203" s="17">
        <v>114639</v>
      </c>
      <c r="Z203" s="18">
        <v>3111</v>
      </c>
      <c r="AA203" s="18">
        <v>2350</v>
      </c>
      <c r="AB203" s="18">
        <v>9137</v>
      </c>
      <c r="AC203" s="23">
        <v>2</v>
      </c>
      <c r="AD203" s="23">
        <v>15</v>
      </c>
      <c r="AE203" s="50">
        <f t="shared" si="0"/>
        <v>5.1922634123877431E-2</v>
      </c>
    </row>
    <row r="204" spans="1:31">
      <c r="A204" s="2">
        <v>1991</v>
      </c>
      <c r="B204" s="2">
        <v>7</v>
      </c>
      <c r="U204" s="2">
        <v>1991</v>
      </c>
      <c r="V204" s="2">
        <v>7</v>
      </c>
      <c r="X204" s="17">
        <v>1016233</v>
      </c>
      <c r="Y204" s="17">
        <v>114844</v>
      </c>
      <c r="Z204" s="18">
        <v>3109</v>
      </c>
      <c r="AA204" s="18">
        <v>2358</v>
      </c>
      <c r="AB204" s="18">
        <v>9155</v>
      </c>
      <c r="AC204" s="23">
        <v>2</v>
      </c>
      <c r="AD204" s="23">
        <v>14</v>
      </c>
      <c r="AE204" s="50">
        <f t="shared" si="0"/>
        <v>5.6915262064188399E-2</v>
      </c>
    </row>
    <row r="205" spans="1:31">
      <c r="A205" s="2">
        <v>1991</v>
      </c>
      <c r="B205" s="2">
        <v>8</v>
      </c>
      <c r="U205" s="2">
        <v>1991</v>
      </c>
      <c r="V205" s="2">
        <v>8</v>
      </c>
      <c r="X205" s="17">
        <v>1016975</v>
      </c>
      <c r="Y205" s="17">
        <v>114843</v>
      </c>
      <c r="Z205" s="18">
        <v>3126</v>
      </c>
      <c r="AA205" s="18">
        <v>2373</v>
      </c>
      <c r="AB205" s="18">
        <v>9205</v>
      </c>
      <c r="AC205" s="23">
        <v>2</v>
      </c>
      <c r="AD205" s="23">
        <v>14</v>
      </c>
      <c r="AE205" s="50">
        <f t="shared" ref="AE205:AE212" si="1">AB205/AB193-1</f>
        <v>5.1399200456881733E-2</v>
      </c>
    </row>
    <row r="206" spans="1:31">
      <c r="A206" s="2">
        <v>1991</v>
      </c>
      <c r="B206" s="2">
        <v>9</v>
      </c>
      <c r="U206" s="2">
        <v>1991</v>
      </c>
      <c r="V206" s="2">
        <v>9</v>
      </c>
      <c r="X206" s="17">
        <v>1019352</v>
      </c>
      <c r="Y206" s="17">
        <v>115057</v>
      </c>
      <c r="Z206" s="18">
        <v>3128</v>
      </c>
      <c r="AA206" s="18">
        <v>2376</v>
      </c>
      <c r="AB206" s="18">
        <v>9276</v>
      </c>
      <c r="AC206" s="23">
        <v>2</v>
      </c>
      <c r="AD206" s="23">
        <v>14</v>
      </c>
      <c r="AE206" s="50">
        <f t="shared" si="1"/>
        <v>4.9558723693143181E-2</v>
      </c>
    </row>
    <row r="207" spans="1:31">
      <c r="A207" s="2">
        <v>1991</v>
      </c>
      <c r="B207" s="2">
        <v>10</v>
      </c>
      <c r="U207" s="2">
        <v>1991</v>
      </c>
      <c r="V207" s="2">
        <v>10</v>
      </c>
      <c r="X207" s="18">
        <v>1024933</v>
      </c>
      <c r="Y207" s="18">
        <v>115306</v>
      </c>
      <c r="Z207" s="18">
        <v>3146</v>
      </c>
      <c r="AA207" s="18">
        <v>2360</v>
      </c>
      <c r="AB207" s="18">
        <v>9321</v>
      </c>
      <c r="AC207" s="23">
        <v>2</v>
      </c>
      <c r="AD207" s="23">
        <v>14</v>
      </c>
      <c r="AE207" s="50">
        <f t="shared" si="1"/>
        <v>4.8363513665504509E-2</v>
      </c>
    </row>
    <row r="208" spans="1:31">
      <c r="A208" s="2">
        <v>1991</v>
      </c>
      <c r="B208" s="2">
        <v>11</v>
      </c>
      <c r="U208" s="2">
        <v>1991</v>
      </c>
      <c r="V208" s="2">
        <v>11</v>
      </c>
      <c r="X208" s="18">
        <v>1038014</v>
      </c>
      <c r="Y208" s="18">
        <v>115448</v>
      </c>
      <c r="Z208" s="18">
        <v>3142</v>
      </c>
      <c r="AA208" s="18">
        <v>2347</v>
      </c>
      <c r="AB208" s="18">
        <v>9431</v>
      </c>
      <c r="AC208" s="23">
        <v>2</v>
      </c>
      <c r="AD208" s="23">
        <v>14</v>
      </c>
      <c r="AE208" s="50">
        <f t="shared" si="1"/>
        <v>5.6339605734766929E-2</v>
      </c>
    </row>
    <row r="209" spans="1:31">
      <c r="A209" s="2">
        <v>1991</v>
      </c>
      <c r="B209" s="2">
        <v>12</v>
      </c>
      <c r="U209" s="2">
        <v>1991</v>
      </c>
      <c r="V209" s="2">
        <v>12</v>
      </c>
      <c r="X209" s="18">
        <v>1049020</v>
      </c>
      <c r="Y209" s="18">
        <v>115508</v>
      </c>
      <c r="Z209" s="18">
        <v>3146</v>
      </c>
      <c r="AA209" s="18">
        <v>2346</v>
      </c>
      <c r="AB209" s="18">
        <v>9470</v>
      </c>
      <c r="AC209" s="23">
        <v>2</v>
      </c>
      <c r="AD209" s="23">
        <v>15</v>
      </c>
      <c r="AE209" s="50">
        <f t="shared" si="1"/>
        <v>5.5506018724921891E-2</v>
      </c>
    </row>
    <row r="210" spans="1:31">
      <c r="A210" s="2">
        <v>1992</v>
      </c>
      <c r="B210" s="2">
        <v>1</v>
      </c>
      <c r="U210" s="2">
        <v>1992</v>
      </c>
      <c r="V210" s="2">
        <v>1</v>
      </c>
      <c r="X210" s="18">
        <v>1056524</v>
      </c>
      <c r="Y210" s="18">
        <v>115375</v>
      </c>
      <c r="Z210" s="18">
        <v>3144</v>
      </c>
      <c r="AA210" s="18">
        <v>2346</v>
      </c>
      <c r="AB210" s="18">
        <v>9518</v>
      </c>
      <c r="AC210" s="23">
        <v>2</v>
      </c>
      <c r="AD210" s="23">
        <v>14</v>
      </c>
      <c r="AE210" s="50">
        <f t="shared" si="1"/>
        <v>5.7555555555555582E-2</v>
      </c>
    </row>
    <row r="211" spans="1:31">
      <c r="A211" s="2">
        <v>1992</v>
      </c>
      <c r="B211" s="2">
        <v>2</v>
      </c>
      <c r="U211" s="2">
        <v>1992</v>
      </c>
      <c r="V211" s="2">
        <v>2</v>
      </c>
      <c r="X211" s="18">
        <v>1060809</v>
      </c>
      <c r="Y211" s="18">
        <v>115661</v>
      </c>
      <c r="Z211" s="18">
        <v>3144</v>
      </c>
      <c r="AA211" s="18">
        <v>2352</v>
      </c>
      <c r="AB211" s="18">
        <v>9546</v>
      </c>
      <c r="AC211" s="23">
        <v>2</v>
      </c>
      <c r="AD211" s="23">
        <v>14</v>
      </c>
      <c r="AE211" s="50">
        <f t="shared" si="1"/>
        <v>5.7025800022145967E-2</v>
      </c>
    </row>
    <row r="212" spans="1:31">
      <c r="A212" s="2">
        <v>1992</v>
      </c>
      <c r="B212" s="2">
        <v>3</v>
      </c>
      <c r="U212" s="2">
        <v>1992</v>
      </c>
      <c r="V212" s="2">
        <v>3</v>
      </c>
      <c r="X212" s="18">
        <v>1062288</v>
      </c>
      <c r="Y212" s="18">
        <v>115759</v>
      </c>
      <c r="Z212" s="18">
        <v>3156</v>
      </c>
      <c r="AA212" s="18">
        <v>2361</v>
      </c>
      <c r="AB212" s="18">
        <v>9577</v>
      </c>
      <c r="AC212" s="23">
        <v>2</v>
      </c>
      <c r="AD212" s="23">
        <v>14</v>
      </c>
      <c r="AE212" s="50">
        <f t="shared" si="1"/>
        <v>5.5782162936831581E-2</v>
      </c>
    </row>
    <row r="213" spans="1:31">
      <c r="A213" s="2">
        <v>1992</v>
      </c>
      <c r="B213" s="2">
        <v>4</v>
      </c>
      <c r="U213" s="2">
        <v>1992</v>
      </c>
      <c r="V213" s="2">
        <v>4</v>
      </c>
      <c r="X213" s="18">
        <v>1054466</v>
      </c>
      <c r="Y213" s="18">
        <v>116051</v>
      </c>
      <c r="Z213" s="18">
        <v>3146</v>
      </c>
      <c r="AA213" s="18">
        <v>2374</v>
      </c>
      <c r="AB213" s="18">
        <v>9618</v>
      </c>
      <c r="AC213" s="23">
        <v>2</v>
      </c>
      <c r="AD213" s="23">
        <v>15</v>
      </c>
      <c r="AE213" s="50">
        <f t="shared" ref="AE213:AE219" si="2">AB213/AB201-1</f>
        <v>5.7039235080778017E-2</v>
      </c>
    </row>
    <row r="214" spans="1:31">
      <c r="A214" s="2">
        <v>1992</v>
      </c>
      <c r="B214" s="2">
        <v>5</v>
      </c>
      <c r="U214" s="2">
        <v>1992</v>
      </c>
      <c r="V214" s="2">
        <v>5</v>
      </c>
      <c r="X214" s="18">
        <v>1039464</v>
      </c>
      <c r="Y214" s="18">
        <v>116429</v>
      </c>
      <c r="Z214" s="18">
        <v>3136</v>
      </c>
      <c r="AA214" s="18">
        <v>2374</v>
      </c>
      <c r="AB214" s="18">
        <v>9644</v>
      </c>
      <c r="AC214" s="23">
        <v>2</v>
      </c>
      <c r="AD214" s="23">
        <v>14</v>
      </c>
      <c r="AE214" s="50">
        <f t="shared" si="2"/>
        <v>5.6066579062636901E-2</v>
      </c>
    </row>
    <row r="215" spans="1:31">
      <c r="A215" s="2">
        <v>1992</v>
      </c>
      <c r="B215" s="2">
        <v>6</v>
      </c>
      <c r="U215" s="2">
        <v>1992</v>
      </c>
      <c r="V215" s="2">
        <v>6</v>
      </c>
      <c r="X215" s="18">
        <v>1035661</v>
      </c>
      <c r="Y215" s="18">
        <v>116682</v>
      </c>
      <c r="Z215" s="18">
        <v>3117</v>
      </c>
      <c r="AA215" s="18">
        <v>2379</v>
      </c>
      <c r="AB215" s="18">
        <v>9652</v>
      </c>
      <c r="AC215" s="23">
        <v>2</v>
      </c>
      <c r="AD215" s="23">
        <v>13</v>
      </c>
      <c r="AE215" s="50">
        <f t="shared" si="2"/>
        <v>5.6364233336981595E-2</v>
      </c>
    </row>
    <row r="216" spans="1:31">
      <c r="A216" s="2">
        <v>1992</v>
      </c>
      <c r="B216" s="2">
        <v>7</v>
      </c>
      <c r="U216" s="2">
        <v>1992</v>
      </c>
      <c r="V216" s="2">
        <v>7</v>
      </c>
      <c r="X216" s="18">
        <v>1036384</v>
      </c>
      <c r="Y216" s="18">
        <v>117032</v>
      </c>
      <c r="Z216" s="18">
        <v>3138</v>
      </c>
      <c r="AA216" s="18">
        <v>2385</v>
      </c>
      <c r="AB216" s="18">
        <v>9657</v>
      </c>
      <c r="AC216" s="23">
        <v>2</v>
      </c>
      <c r="AD216" s="23">
        <v>15</v>
      </c>
      <c r="AE216" s="50">
        <f t="shared" si="2"/>
        <v>5.4833424358274208E-2</v>
      </c>
    </row>
    <row r="217" spans="1:31">
      <c r="A217" s="2">
        <v>1992</v>
      </c>
      <c r="B217" s="2">
        <v>8</v>
      </c>
      <c r="U217" s="2">
        <v>1992</v>
      </c>
      <c r="V217" s="2">
        <v>8</v>
      </c>
      <c r="X217" s="18">
        <v>1038197</v>
      </c>
      <c r="Y217" s="18">
        <v>117293</v>
      </c>
      <c r="Z217" s="18">
        <v>3136</v>
      </c>
      <c r="AA217" s="18">
        <v>2390</v>
      </c>
      <c r="AB217" s="18">
        <v>9678</v>
      </c>
      <c r="AC217" s="23">
        <v>2</v>
      </c>
      <c r="AD217" s="23">
        <v>15</v>
      </c>
      <c r="AE217" s="50">
        <f t="shared" si="2"/>
        <v>5.1385116784356422E-2</v>
      </c>
    </row>
    <row r="218" spans="1:31">
      <c r="A218" s="2">
        <v>1992</v>
      </c>
      <c r="B218" s="2">
        <v>9</v>
      </c>
      <c r="U218" s="2">
        <v>1992</v>
      </c>
      <c r="V218" s="2">
        <v>9</v>
      </c>
      <c r="X218" s="18">
        <v>1040641</v>
      </c>
      <c r="Y218" s="18">
        <v>117512</v>
      </c>
      <c r="Z218" s="18">
        <v>3134</v>
      </c>
      <c r="AA218" s="18">
        <v>2401</v>
      </c>
      <c r="AB218" s="18">
        <v>9752</v>
      </c>
      <c r="AC218" s="23">
        <v>2</v>
      </c>
      <c r="AD218" s="23">
        <v>15</v>
      </c>
      <c r="AE218" s="50">
        <f t="shared" si="2"/>
        <v>5.1315222078482048E-2</v>
      </c>
    </row>
    <row r="219" spans="1:31">
      <c r="A219" s="2">
        <v>1992</v>
      </c>
      <c r="B219" s="2">
        <v>10</v>
      </c>
      <c r="U219" s="2">
        <v>1992</v>
      </c>
      <c r="V219" s="2">
        <v>10</v>
      </c>
      <c r="X219" s="18">
        <v>1046088</v>
      </c>
      <c r="Y219" s="18">
        <v>117514</v>
      </c>
      <c r="Z219" s="18">
        <v>3123</v>
      </c>
      <c r="AA219" s="18">
        <v>2404</v>
      </c>
      <c r="AB219" s="18">
        <v>9813</v>
      </c>
      <c r="AC219" s="23">
        <v>2</v>
      </c>
      <c r="AD219" s="23">
        <v>14</v>
      </c>
      <c r="AE219" s="50">
        <f t="shared" si="2"/>
        <v>5.2784036047634375E-2</v>
      </c>
    </row>
    <row r="220" spans="1:31">
      <c r="A220" s="2">
        <v>1992</v>
      </c>
      <c r="B220" s="2">
        <v>11</v>
      </c>
      <c r="U220" s="2">
        <v>1992</v>
      </c>
      <c r="V220" s="2">
        <v>11</v>
      </c>
      <c r="X220" s="18">
        <v>1060256</v>
      </c>
      <c r="Y220" s="18">
        <v>117719</v>
      </c>
      <c r="Z220" s="18">
        <v>3134</v>
      </c>
      <c r="AA220" s="18">
        <v>2389</v>
      </c>
      <c r="AB220" s="18">
        <v>10416</v>
      </c>
      <c r="AC220" s="23">
        <v>2</v>
      </c>
      <c r="AD220" s="23">
        <v>15</v>
      </c>
      <c r="AE220" s="51">
        <f>AB220/AB208-1</f>
        <v>0.10444279503764187</v>
      </c>
    </row>
    <row r="221" spans="1:31">
      <c r="A221" s="2">
        <v>1992</v>
      </c>
      <c r="B221" s="2">
        <v>12</v>
      </c>
      <c r="U221" s="2">
        <v>1992</v>
      </c>
      <c r="V221" s="2">
        <v>12</v>
      </c>
      <c r="X221" s="18">
        <v>1070143</v>
      </c>
      <c r="Y221" s="18">
        <v>117694</v>
      </c>
      <c r="Z221" s="18">
        <v>3132</v>
      </c>
      <c r="AA221" s="18">
        <v>2385</v>
      </c>
      <c r="AB221" s="18">
        <v>11151</v>
      </c>
      <c r="AC221" s="23">
        <v>2</v>
      </c>
      <c r="AD221" s="23">
        <v>15</v>
      </c>
      <c r="AE221" s="51">
        <f>AB221/AB209-1</f>
        <v>0.1775079197465681</v>
      </c>
    </row>
    <row r="222" spans="1:31">
      <c r="A222" s="2">
        <v>1993</v>
      </c>
      <c r="B222" s="2">
        <v>1</v>
      </c>
      <c r="U222" s="2">
        <v>1993</v>
      </c>
      <c r="V222" s="2">
        <v>1</v>
      </c>
      <c r="X222" s="18">
        <v>1077413</v>
      </c>
      <c r="Y222" s="18">
        <v>117673</v>
      </c>
      <c r="Z222" s="18">
        <v>3115</v>
      </c>
      <c r="AA222" s="18">
        <v>2382</v>
      </c>
      <c r="AB222" s="18">
        <v>11354</v>
      </c>
      <c r="AC222" s="23">
        <v>2</v>
      </c>
      <c r="AD222" s="23">
        <v>15</v>
      </c>
      <c r="AE222" s="51">
        <f>AB222/AB210-1</f>
        <v>0.19289766757722204</v>
      </c>
    </row>
    <row r="223" spans="1:31">
      <c r="A223" s="2">
        <v>1993</v>
      </c>
      <c r="B223" s="2">
        <v>2</v>
      </c>
      <c r="U223" s="2">
        <v>1993</v>
      </c>
      <c r="V223" s="2">
        <v>2</v>
      </c>
      <c r="X223" s="18">
        <v>1081474</v>
      </c>
      <c r="Y223" s="18">
        <v>117913</v>
      </c>
      <c r="Z223" s="18">
        <v>3114</v>
      </c>
      <c r="AA223" s="18">
        <v>2382</v>
      </c>
      <c r="AB223" s="18">
        <v>11489</v>
      </c>
      <c r="AC223" s="23">
        <v>2</v>
      </c>
      <c r="AD223" s="23">
        <v>14</v>
      </c>
      <c r="AE223" s="51">
        <f>AB223/AB211-1</f>
        <v>0.20354075005237804</v>
      </c>
    </row>
    <row r="224" spans="1:31">
      <c r="A224" s="2">
        <v>1993</v>
      </c>
      <c r="B224" s="2">
        <v>3</v>
      </c>
      <c r="U224" s="2">
        <v>1993</v>
      </c>
      <c r="V224" s="2">
        <v>3</v>
      </c>
      <c r="X224" s="18">
        <v>1083308</v>
      </c>
      <c r="Y224" s="18">
        <v>118212</v>
      </c>
      <c r="Z224" s="18">
        <v>3114</v>
      </c>
      <c r="AA224" s="18">
        <v>2386</v>
      </c>
      <c r="AB224" s="18">
        <v>11511</v>
      </c>
      <c r="AC224" s="23">
        <v>2</v>
      </c>
      <c r="AD224" s="23">
        <v>14</v>
      </c>
      <c r="AE224" s="51">
        <f>AB224/AB212-1</f>
        <v>0.20194215307507579</v>
      </c>
    </row>
    <row r="225" spans="1:31">
      <c r="A225" s="2">
        <v>1993</v>
      </c>
      <c r="B225" s="2">
        <v>4</v>
      </c>
      <c r="C225" s="19">
        <f>SUM(D225:F225,I225:L225)</f>
        <v>1954664</v>
      </c>
      <c r="D225" s="19">
        <f>'FPC wSEB'!D225-SEB!D225</f>
        <v>876269</v>
      </c>
      <c r="E225" s="19">
        <f>'FPC wSEB'!E225-SEB!E225</f>
        <v>570514</v>
      </c>
      <c r="F225" s="19">
        <f>'FPC wSEB'!F225-SEB!F225</f>
        <v>282874</v>
      </c>
      <c r="G225" s="19">
        <f>'FPC wSEB'!G225-SEB!G225</f>
        <v>81873</v>
      </c>
      <c r="H225" s="19">
        <f>'FPC wSEB'!H225-SEB!H225</f>
        <v>201001</v>
      </c>
      <c r="I225" s="19">
        <f>'FPC wSEB'!I225-SEB!I225</f>
        <v>2080</v>
      </c>
      <c r="J225" s="19">
        <f>'FPC wSEB'!J225-SEB!J225</f>
        <v>137557</v>
      </c>
      <c r="K225" s="19">
        <f>'FPC wSEB'!K225</f>
        <v>16634</v>
      </c>
      <c r="L225" s="19">
        <f>'FPC wSEB'!L225</f>
        <v>68736</v>
      </c>
      <c r="U225" s="2">
        <v>1993</v>
      </c>
      <c r="V225" s="2">
        <v>4</v>
      </c>
      <c r="W225" s="19">
        <f>SUM(X225:AD225)</f>
        <v>1210657</v>
      </c>
      <c r="X225" s="19">
        <f>'FPC wSEB'!X225-SEB!Q225</f>
        <v>1075214</v>
      </c>
      <c r="Y225" s="19">
        <f>'FPC wSEB'!Y225-SEB!R225</f>
        <v>118341</v>
      </c>
      <c r="Z225" s="19">
        <f>'FPC wSEB'!Z225-SEB!S225</f>
        <v>3102</v>
      </c>
      <c r="AA225" s="19">
        <f>'FPC wSEB'!AA225-SEB!T225</f>
        <v>2387</v>
      </c>
      <c r="AB225" s="19">
        <f>'FPC wSEB'!AB225-SEB!U225</f>
        <v>11597</v>
      </c>
      <c r="AC225" s="19">
        <f>'FPC wSEB'!AC225</f>
        <v>2</v>
      </c>
      <c r="AD225" s="19">
        <f>'FPC wSEB'!AD225</f>
        <v>14</v>
      </c>
      <c r="AE225" s="51">
        <f t="shared" ref="AE225:AE236" si="3">AB225/AB213-1</f>
        <v>0.20576003327095038</v>
      </c>
    </row>
    <row r="226" spans="1:31">
      <c r="A226" s="2">
        <v>1993</v>
      </c>
      <c r="B226" s="2">
        <v>5</v>
      </c>
      <c r="C226" s="19">
        <f t="shared" ref="C226:C241" si="4">SUM(D226:F226,I226:L226)</f>
        <v>1988716</v>
      </c>
      <c r="D226" s="19">
        <f>'FPC wSEB'!D226-SEB!D226</f>
        <v>829464</v>
      </c>
      <c r="E226" s="19">
        <f>'FPC wSEB'!E226-SEB!E226</f>
        <v>599276</v>
      </c>
      <c r="F226" s="19">
        <f>'FPC wSEB'!F226-SEB!F226</f>
        <v>299119</v>
      </c>
      <c r="G226" s="19">
        <f>'FPC wSEB'!G226-SEB!G226</f>
        <v>82930</v>
      </c>
      <c r="H226" s="19">
        <f>'FPC wSEB'!H226-SEB!H226</f>
        <v>216189</v>
      </c>
      <c r="I226" s="19">
        <f>'FPC wSEB'!I226-SEB!I226</f>
        <v>2076</v>
      </c>
      <c r="J226" s="19">
        <f>'FPC wSEB'!J226-SEB!J226</f>
        <v>145924</v>
      </c>
      <c r="K226" s="19">
        <f>'FPC wSEB'!K226</f>
        <v>14998</v>
      </c>
      <c r="L226" s="19">
        <f>'FPC wSEB'!L226</f>
        <v>97859</v>
      </c>
      <c r="U226" s="2">
        <v>1993</v>
      </c>
      <c r="V226" s="2">
        <v>5</v>
      </c>
      <c r="W226" s="19">
        <f t="shared" ref="W226:W241" si="5">SUM(X226:AD226)</f>
        <v>1194862</v>
      </c>
      <c r="X226" s="19">
        <f>'FPC wSEB'!X226-SEB!Q226</f>
        <v>1059456</v>
      </c>
      <c r="Y226" s="19">
        <f>'FPC wSEB'!Y226-SEB!R226</f>
        <v>118420</v>
      </c>
      <c r="Z226" s="19">
        <f>'FPC wSEB'!Z226-SEB!S226</f>
        <v>3110</v>
      </c>
      <c r="AA226" s="19">
        <f>'FPC wSEB'!AA226-SEB!T226</f>
        <v>2380</v>
      </c>
      <c r="AB226" s="19">
        <f>'FPC wSEB'!AB226-SEB!U226</f>
        <v>11480</v>
      </c>
      <c r="AC226" s="19">
        <f>'FPC wSEB'!AC226</f>
        <v>2</v>
      </c>
      <c r="AD226" s="19">
        <f>'FPC wSEB'!AD226</f>
        <v>14</v>
      </c>
      <c r="AE226" s="51">
        <f t="shared" si="3"/>
        <v>0.19037743674823715</v>
      </c>
    </row>
    <row r="227" spans="1:31">
      <c r="A227" s="2">
        <v>1993</v>
      </c>
      <c r="B227" s="2">
        <v>6</v>
      </c>
      <c r="C227" s="19">
        <f t="shared" si="4"/>
        <v>2381734</v>
      </c>
      <c r="D227" s="19">
        <f>'FPC wSEB'!D227-SEB!D227</f>
        <v>1129902</v>
      </c>
      <c r="E227" s="19">
        <f>'FPC wSEB'!E227-SEB!E227</f>
        <v>696157</v>
      </c>
      <c r="F227" s="19">
        <f>'FPC wSEB'!F227-SEB!F227</f>
        <v>297012</v>
      </c>
      <c r="G227" s="19">
        <f>'FPC wSEB'!G227-SEB!G227</f>
        <v>74509</v>
      </c>
      <c r="H227" s="19">
        <f>'FPC wSEB'!H227-SEB!H227</f>
        <v>222503</v>
      </c>
      <c r="I227" s="19">
        <f>'FPC wSEB'!I227-SEB!I227</f>
        <v>2097</v>
      </c>
      <c r="J227" s="19">
        <f>'FPC wSEB'!J227-SEB!J227</f>
        <v>163939</v>
      </c>
      <c r="K227" s="19">
        <f>'FPC wSEB'!K227</f>
        <v>381</v>
      </c>
      <c r="L227" s="19">
        <f>'FPC wSEB'!L227</f>
        <v>92246</v>
      </c>
      <c r="U227" s="2">
        <v>1993</v>
      </c>
      <c r="V227" s="2">
        <v>6</v>
      </c>
      <c r="W227" s="19">
        <f t="shared" si="5"/>
        <v>1191254</v>
      </c>
      <c r="X227" s="19">
        <f>'FPC wSEB'!X227-SEB!Q227</f>
        <v>1055243</v>
      </c>
      <c r="Y227" s="19">
        <f>'FPC wSEB'!Y227-SEB!R227</f>
        <v>118647</v>
      </c>
      <c r="Z227" s="19">
        <f>'FPC wSEB'!Z227-SEB!S227</f>
        <v>3093</v>
      </c>
      <c r="AA227" s="19">
        <f>'FPC wSEB'!AA227-SEB!T227</f>
        <v>2399</v>
      </c>
      <c r="AB227" s="19">
        <f>'FPC wSEB'!AB227-SEB!U227</f>
        <v>11857</v>
      </c>
      <c r="AC227" s="19">
        <f>'FPC wSEB'!AC227</f>
        <v>2</v>
      </c>
      <c r="AD227" s="19">
        <f>'FPC wSEB'!AD227</f>
        <v>13</v>
      </c>
      <c r="AE227" s="51">
        <f t="shared" si="3"/>
        <v>0.22845006216328212</v>
      </c>
    </row>
    <row r="228" spans="1:31">
      <c r="A228" s="2">
        <v>1993</v>
      </c>
      <c r="B228" s="2">
        <v>7</v>
      </c>
      <c r="C228" s="19">
        <f t="shared" si="4"/>
        <v>2687902</v>
      </c>
      <c r="D228" s="19">
        <f>'FPC wSEB'!D228-SEB!D228</f>
        <v>1370348</v>
      </c>
      <c r="E228" s="19">
        <f>'FPC wSEB'!E228-SEB!E228</f>
        <v>746165</v>
      </c>
      <c r="F228" s="19">
        <f>'FPC wSEB'!F228-SEB!F228</f>
        <v>286731</v>
      </c>
      <c r="G228" s="19">
        <f>'FPC wSEB'!G228-SEB!G228</f>
        <v>67860</v>
      </c>
      <c r="H228" s="19">
        <f>'FPC wSEB'!H228-SEB!H228</f>
        <v>218871</v>
      </c>
      <c r="I228" s="19">
        <f>'FPC wSEB'!I228-SEB!I228</f>
        <v>2136</v>
      </c>
      <c r="J228" s="19">
        <f>'FPC wSEB'!J228-SEB!J228</f>
        <v>160873</v>
      </c>
      <c r="K228" s="19">
        <f>'FPC wSEB'!K228</f>
        <v>9325</v>
      </c>
      <c r="L228" s="19">
        <f>'FPC wSEB'!L228</f>
        <v>112324</v>
      </c>
      <c r="U228" s="2">
        <v>1993</v>
      </c>
      <c r="V228" s="2">
        <v>7</v>
      </c>
      <c r="W228" s="19">
        <f t="shared" si="5"/>
        <v>1191604</v>
      </c>
      <c r="X228" s="19">
        <f>'FPC wSEB'!X228-SEB!Q228</f>
        <v>1055185</v>
      </c>
      <c r="Y228" s="19">
        <f>'FPC wSEB'!Y228-SEB!R228</f>
        <v>118837</v>
      </c>
      <c r="Z228" s="19">
        <f>'FPC wSEB'!Z228-SEB!S228</f>
        <v>3098</v>
      </c>
      <c r="AA228" s="19">
        <f>'FPC wSEB'!AA228-SEB!T228</f>
        <v>2406</v>
      </c>
      <c r="AB228" s="19">
        <f>'FPC wSEB'!AB228-SEB!U228</f>
        <v>12062</v>
      </c>
      <c r="AC228" s="19">
        <f>'FPC wSEB'!AC228</f>
        <v>2</v>
      </c>
      <c r="AD228" s="19">
        <f>'FPC wSEB'!AD228</f>
        <v>14</v>
      </c>
      <c r="AE228" s="51">
        <f t="shared" si="3"/>
        <v>0.24904214559386983</v>
      </c>
    </row>
    <row r="229" spans="1:31">
      <c r="A229" s="2">
        <v>1993</v>
      </c>
      <c r="B229" s="2">
        <v>8</v>
      </c>
      <c r="C229" s="19">
        <f t="shared" si="4"/>
        <v>3070380</v>
      </c>
      <c r="D229" s="19">
        <f>'FPC wSEB'!D229-SEB!D229</f>
        <v>1583249</v>
      </c>
      <c r="E229" s="19">
        <f>'FPC wSEB'!E229-SEB!E229</f>
        <v>804139</v>
      </c>
      <c r="F229" s="19">
        <f>'FPC wSEB'!F229-SEB!F229</f>
        <v>289429</v>
      </c>
      <c r="G229" s="19">
        <f>'FPC wSEB'!G229-SEB!G229</f>
        <v>72296</v>
      </c>
      <c r="H229" s="19">
        <f>'FPC wSEB'!H229-SEB!H229</f>
        <v>217133</v>
      </c>
      <c r="I229" s="19">
        <f>'FPC wSEB'!I229-SEB!I229</f>
        <v>2111</v>
      </c>
      <c r="J229" s="19">
        <f>'FPC wSEB'!J229-SEB!J229</f>
        <v>174736</v>
      </c>
      <c r="K229" s="19">
        <f>'FPC wSEB'!K229</f>
        <v>73444</v>
      </c>
      <c r="L229" s="19">
        <f>'FPC wSEB'!L229</f>
        <v>143272</v>
      </c>
      <c r="U229" s="2">
        <v>1993</v>
      </c>
      <c r="V229" s="2">
        <v>8</v>
      </c>
      <c r="W229" s="19">
        <f t="shared" si="5"/>
        <v>1194028</v>
      </c>
      <c r="X229" s="19">
        <f>'FPC wSEB'!X229-SEB!Q229</f>
        <v>1056873</v>
      </c>
      <c r="Y229" s="19">
        <f>'FPC wSEB'!Y229-SEB!R229</f>
        <v>118988</v>
      </c>
      <c r="Z229" s="19">
        <f>'FPC wSEB'!Z229-SEB!S229</f>
        <v>3110</v>
      </c>
      <c r="AA229" s="19">
        <f>'FPC wSEB'!AA229-SEB!T229</f>
        <v>2405</v>
      </c>
      <c r="AB229" s="19">
        <f>'FPC wSEB'!AB229-SEB!U229</f>
        <v>12636</v>
      </c>
      <c r="AC229" s="19">
        <f>'FPC wSEB'!AC229</f>
        <v>2</v>
      </c>
      <c r="AD229" s="19">
        <f>'FPC wSEB'!AD229</f>
        <v>14</v>
      </c>
      <c r="AE229" s="51">
        <f t="shared" si="3"/>
        <v>0.30564166150030991</v>
      </c>
    </row>
    <row r="230" spans="1:31">
      <c r="A230" s="2">
        <v>1993</v>
      </c>
      <c r="B230" s="2">
        <v>9</v>
      </c>
      <c r="C230" s="19">
        <f t="shared" si="4"/>
        <v>2934099</v>
      </c>
      <c r="D230" s="19">
        <f>'FPC wSEB'!D230-SEB!D230</f>
        <v>1433415</v>
      </c>
      <c r="E230" s="19">
        <f>'FPC wSEB'!E230-SEB!E230</f>
        <v>770774</v>
      </c>
      <c r="F230" s="19">
        <f>'FPC wSEB'!F230-SEB!F230</f>
        <v>297681</v>
      </c>
      <c r="G230" s="19">
        <f>'FPC wSEB'!G230-SEB!G230</f>
        <v>73226</v>
      </c>
      <c r="H230" s="19">
        <f>'FPC wSEB'!H230-SEB!H230</f>
        <v>224455</v>
      </c>
      <c r="I230" s="19">
        <f>'FPC wSEB'!I230-SEB!I230</f>
        <v>2125</v>
      </c>
      <c r="J230" s="19">
        <f>'FPC wSEB'!J230-SEB!J230</f>
        <v>180299</v>
      </c>
      <c r="K230" s="19">
        <f>'FPC wSEB'!K230</f>
        <v>101956</v>
      </c>
      <c r="L230" s="19">
        <f>'FPC wSEB'!L230</f>
        <v>147849</v>
      </c>
      <c r="U230" s="2">
        <v>1993</v>
      </c>
      <c r="V230" s="2">
        <v>9</v>
      </c>
      <c r="W230" s="19">
        <f t="shared" si="5"/>
        <v>1198096</v>
      </c>
      <c r="X230" s="19">
        <f>'FPC wSEB'!X230-SEB!Q230</f>
        <v>1059290</v>
      </c>
      <c r="Y230" s="19">
        <f>'FPC wSEB'!Y230-SEB!R230</f>
        <v>119422</v>
      </c>
      <c r="Z230" s="19">
        <f>'FPC wSEB'!Z230-SEB!S230</f>
        <v>3105</v>
      </c>
      <c r="AA230" s="19">
        <f>'FPC wSEB'!AA230-SEB!T230</f>
        <v>2408</v>
      </c>
      <c r="AB230" s="19">
        <f>'FPC wSEB'!AB230-SEB!U230</f>
        <v>13855</v>
      </c>
      <c r="AC230" s="19">
        <f>'FPC wSEB'!AC230</f>
        <v>2</v>
      </c>
      <c r="AD230" s="19">
        <f>'FPC wSEB'!AD230</f>
        <v>14</v>
      </c>
      <c r="AE230" s="51">
        <f t="shared" si="3"/>
        <v>0.4207342083675143</v>
      </c>
    </row>
    <row r="231" spans="1:31">
      <c r="A231" s="2">
        <v>1993</v>
      </c>
      <c r="B231" s="2">
        <v>10</v>
      </c>
      <c r="C231" s="19">
        <f t="shared" si="4"/>
        <v>2650101</v>
      </c>
      <c r="D231" s="19">
        <f>'FPC wSEB'!D231-SEB!D231</f>
        <v>1225536</v>
      </c>
      <c r="E231" s="19">
        <f>'FPC wSEB'!E231-SEB!E231</f>
        <v>712464</v>
      </c>
      <c r="F231" s="19">
        <f>'FPC wSEB'!F231-SEB!F231</f>
        <v>281630</v>
      </c>
      <c r="G231" s="19">
        <f>'FPC wSEB'!G231-SEB!G231</f>
        <v>72399</v>
      </c>
      <c r="H231" s="19">
        <f>'FPC wSEB'!H231-SEB!H231</f>
        <v>209231</v>
      </c>
      <c r="I231" s="19">
        <f>'FPC wSEB'!I231-SEB!I231</f>
        <v>2173</v>
      </c>
      <c r="J231" s="19">
        <f>'FPC wSEB'!J231-SEB!J231</f>
        <v>177850</v>
      </c>
      <c r="K231" s="19">
        <f>'FPC wSEB'!K231</f>
        <v>109208</v>
      </c>
      <c r="L231" s="19">
        <f>'FPC wSEB'!L231</f>
        <v>141240</v>
      </c>
      <c r="U231" s="2">
        <v>1993</v>
      </c>
      <c r="V231" s="2">
        <v>10</v>
      </c>
      <c r="W231" s="19">
        <f t="shared" si="5"/>
        <v>1204447</v>
      </c>
      <c r="X231" s="19">
        <f>'FPC wSEB'!X231-SEB!Q231</f>
        <v>1064885</v>
      </c>
      <c r="Y231" s="19">
        <f>'FPC wSEB'!Y231-SEB!R231</f>
        <v>119788</v>
      </c>
      <c r="Z231" s="19">
        <f>'FPC wSEB'!Z231-SEB!S231</f>
        <v>3108</v>
      </c>
      <c r="AA231" s="19">
        <f>'FPC wSEB'!AA231-SEB!T231</f>
        <v>2408</v>
      </c>
      <c r="AB231" s="19">
        <f>'FPC wSEB'!AB231-SEB!U231</f>
        <v>14242</v>
      </c>
      <c r="AC231" s="19">
        <f>'FPC wSEB'!AC231</f>
        <v>2</v>
      </c>
      <c r="AD231" s="19">
        <f>'FPC wSEB'!AD231</f>
        <v>14</v>
      </c>
      <c r="AE231" s="51">
        <f t="shared" si="3"/>
        <v>0.45134005910526853</v>
      </c>
    </row>
    <row r="232" spans="1:31">
      <c r="A232" s="2">
        <v>1993</v>
      </c>
      <c r="B232" s="2">
        <v>11</v>
      </c>
      <c r="C232" s="19">
        <f t="shared" si="4"/>
        <v>2226078</v>
      </c>
      <c r="D232" s="19">
        <f>'FPC wSEB'!D232-SEB!D232</f>
        <v>955454</v>
      </c>
      <c r="E232" s="19">
        <f>'FPC wSEB'!E232-SEB!E232</f>
        <v>634759</v>
      </c>
      <c r="F232" s="19">
        <f>'FPC wSEB'!F232-SEB!F232</f>
        <v>277521</v>
      </c>
      <c r="G232" s="19">
        <f>'FPC wSEB'!G232-SEB!G232</f>
        <v>75487</v>
      </c>
      <c r="H232" s="19">
        <f>'FPC wSEB'!H232-SEB!H232</f>
        <v>202034</v>
      </c>
      <c r="I232" s="19">
        <f>'FPC wSEB'!I232-SEB!I232</f>
        <v>2121</v>
      </c>
      <c r="J232" s="19">
        <f>'FPC wSEB'!J232-SEB!J232</f>
        <v>158187</v>
      </c>
      <c r="K232" s="19">
        <f>'FPC wSEB'!K232</f>
        <v>73492</v>
      </c>
      <c r="L232" s="19">
        <f>'FPC wSEB'!L232</f>
        <v>124544</v>
      </c>
      <c r="U232" s="2">
        <v>1993</v>
      </c>
      <c r="V232" s="2">
        <v>11</v>
      </c>
      <c r="W232" s="19">
        <f t="shared" si="5"/>
        <v>1210770</v>
      </c>
      <c r="X232" s="19">
        <f>'FPC wSEB'!X232-SEB!Q232</f>
        <v>1071692</v>
      </c>
      <c r="Y232" s="19">
        <f>'FPC wSEB'!Y232-SEB!R232</f>
        <v>119349</v>
      </c>
      <c r="Z232" s="19">
        <f>'FPC wSEB'!Z232-SEB!S232</f>
        <v>3116</v>
      </c>
      <c r="AA232" s="19">
        <f>'FPC wSEB'!AA232-SEB!T232</f>
        <v>2389</v>
      </c>
      <c r="AB232" s="19">
        <f>'FPC wSEB'!AB232-SEB!U232</f>
        <v>14208</v>
      </c>
      <c r="AC232" s="19">
        <f>'FPC wSEB'!AC232</f>
        <v>2</v>
      </c>
      <c r="AD232" s="19">
        <f>'FPC wSEB'!AD232</f>
        <v>14</v>
      </c>
      <c r="AE232" s="51">
        <f t="shared" si="3"/>
        <v>0.3640552995391706</v>
      </c>
    </row>
    <row r="233" spans="1:31">
      <c r="A233" s="2">
        <v>1993</v>
      </c>
      <c r="B233" s="2">
        <v>12</v>
      </c>
      <c r="C233" s="19">
        <f t="shared" si="4"/>
        <v>2155617</v>
      </c>
      <c r="D233" s="19">
        <f>'FPC wSEB'!D233-SEB!D233</f>
        <v>993067</v>
      </c>
      <c r="E233" s="19">
        <f>'FPC wSEB'!E233-SEB!E233</f>
        <v>628847</v>
      </c>
      <c r="F233" s="19">
        <f>'FPC wSEB'!F233-SEB!F233</f>
        <v>287496</v>
      </c>
      <c r="G233" s="19">
        <f>'FPC wSEB'!G233-SEB!G233</f>
        <v>82043</v>
      </c>
      <c r="H233" s="19">
        <f>'FPC wSEB'!H233-SEB!H233</f>
        <v>205453</v>
      </c>
      <c r="I233" s="19">
        <f>'FPC wSEB'!I233-SEB!I233</f>
        <v>2171</v>
      </c>
      <c r="J233" s="19">
        <f>'FPC wSEB'!J233-SEB!J233</f>
        <v>152766</v>
      </c>
      <c r="K233" s="19">
        <f>'FPC wSEB'!K233</f>
        <v>9040</v>
      </c>
      <c r="L233" s="19">
        <f>'FPC wSEB'!L233</f>
        <v>82230</v>
      </c>
      <c r="U233" s="2">
        <v>1993</v>
      </c>
      <c r="V233" s="2">
        <v>12</v>
      </c>
      <c r="W233" s="19">
        <f t="shared" si="5"/>
        <v>1230027</v>
      </c>
      <c r="X233" s="19">
        <f>'FPC wSEB'!X233-SEB!Q233</f>
        <v>1090160</v>
      </c>
      <c r="Y233" s="19">
        <f>'FPC wSEB'!Y233-SEB!R233</f>
        <v>120054</v>
      </c>
      <c r="Z233" s="19">
        <f>'FPC wSEB'!Z233-SEB!S233</f>
        <v>3103</v>
      </c>
      <c r="AA233" s="19">
        <f>'FPC wSEB'!AA233-SEB!T233</f>
        <v>2397</v>
      </c>
      <c r="AB233" s="19">
        <f>'FPC wSEB'!AB233-SEB!U233</f>
        <v>14297</v>
      </c>
      <c r="AC233" s="19">
        <f>'FPC wSEB'!AC233</f>
        <v>2</v>
      </c>
      <c r="AD233" s="19">
        <f>'FPC wSEB'!AD233</f>
        <v>14</v>
      </c>
      <c r="AE233" s="51">
        <f t="shared" si="3"/>
        <v>0.28212716348309574</v>
      </c>
    </row>
    <row r="234" spans="1:31">
      <c r="A234" s="2">
        <v>1994</v>
      </c>
      <c r="B234" s="2">
        <v>1</v>
      </c>
      <c r="C234" s="19">
        <f t="shared" si="4"/>
        <v>2322442</v>
      </c>
      <c r="D234" s="19">
        <f>'FPC wSEB'!D234-SEB!D234</f>
        <v>1255974</v>
      </c>
      <c r="E234" s="19">
        <f>'FPC wSEB'!E234-SEB!E234</f>
        <v>564995</v>
      </c>
      <c r="F234" s="19">
        <f>'FPC wSEB'!F234-SEB!F234</f>
        <v>273630</v>
      </c>
      <c r="G234" s="19">
        <f>'FPC wSEB'!G234-SEB!G234</f>
        <v>85048</v>
      </c>
      <c r="H234" s="19">
        <f>'FPC wSEB'!H234-SEB!H234</f>
        <v>188582</v>
      </c>
      <c r="I234" s="19">
        <f>'FPC wSEB'!I234-SEB!I234</f>
        <v>2158</v>
      </c>
      <c r="J234" s="19">
        <f>'FPC wSEB'!J234-SEB!J234</f>
        <v>135782</v>
      </c>
      <c r="K234" s="19">
        <f>'FPC wSEB'!K234</f>
        <v>7711</v>
      </c>
      <c r="L234" s="19">
        <f>'FPC wSEB'!L234</f>
        <v>82192</v>
      </c>
      <c r="U234" s="2">
        <v>1994</v>
      </c>
      <c r="V234" s="2">
        <v>1</v>
      </c>
      <c r="W234" s="19">
        <f t="shared" si="5"/>
        <v>1237239</v>
      </c>
      <c r="X234" s="19">
        <f>'FPC wSEB'!X234-SEB!Q234</f>
        <v>1097300</v>
      </c>
      <c r="Y234" s="19">
        <f>'FPC wSEB'!Y234-SEB!R234</f>
        <v>120086</v>
      </c>
      <c r="Z234" s="19">
        <f>'FPC wSEB'!Z234-SEB!S234</f>
        <v>3102</v>
      </c>
      <c r="AA234" s="19">
        <f>'FPC wSEB'!AA234-SEB!T234</f>
        <v>2385</v>
      </c>
      <c r="AB234" s="19">
        <f>'FPC wSEB'!AB234-SEB!U234</f>
        <v>14350</v>
      </c>
      <c r="AC234" s="19">
        <f>'FPC wSEB'!AC234</f>
        <v>2</v>
      </c>
      <c r="AD234" s="19">
        <f>'FPC wSEB'!AD234</f>
        <v>14</v>
      </c>
      <c r="AE234" s="51">
        <f t="shared" si="3"/>
        <v>0.26387176325524053</v>
      </c>
    </row>
    <row r="235" spans="1:31">
      <c r="A235" s="2">
        <v>1994</v>
      </c>
      <c r="B235" s="2">
        <v>2</v>
      </c>
      <c r="C235" s="19">
        <f t="shared" si="4"/>
        <v>2179414</v>
      </c>
      <c r="D235" s="19">
        <f>'FPC wSEB'!D235-SEB!D235</f>
        <v>1078139</v>
      </c>
      <c r="E235" s="19">
        <f>'FPC wSEB'!E235-SEB!E235</f>
        <v>562136</v>
      </c>
      <c r="F235" s="19">
        <f>'FPC wSEB'!F235-SEB!F235</f>
        <v>284319</v>
      </c>
      <c r="G235" s="19">
        <f>'FPC wSEB'!G235-SEB!G235</f>
        <v>84981</v>
      </c>
      <c r="H235" s="19">
        <f>'FPC wSEB'!H235-SEB!H235</f>
        <v>199338</v>
      </c>
      <c r="I235" s="19">
        <f>'FPC wSEB'!I235-SEB!I235</f>
        <v>2114</v>
      </c>
      <c r="J235" s="19">
        <f>'FPC wSEB'!J235-SEB!J235</f>
        <v>138353</v>
      </c>
      <c r="K235" s="19">
        <f>'FPC wSEB'!K235</f>
        <v>23881</v>
      </c>
      <c r="L235" s="19">
        <f>'FPC wSEB'!L235</f>
        <v>90472</v>
      </c>
      <c r="U235" s="2">
        <v>1994</v>
      </c>
      <c r="V235" s="2">
        <v>2</v>
      </c>
      <c r="W235" s="19">
        <f t="shared" si="5"/>
        <v>1242030</v>
      </c>
      <c r="X235" s="19">
        <f>'FPC wSEB'!X235-SEB!Q235</f>
        <v>1101757</v>
      </c>
      <c r="Y235" s="19">
        <f>'FPC wSEB'!Y235-SEB!R235</f>
        <v>120364</v>
      </c>
      <c r="Z235" s="19">
        <f>'FPC wSEB'!Z235-SEB!S235</f>
        <v>3112</v>
      </c>
      <c r="AA235" s="19">
        <f>'FPC wSEB'!AA235-SEB!T235</f>
        <v>2401</v>
      </c>
      <c r="AB235" s="19">
        <f>'FPC wSEB'!AB235-SEB!U235</f>
        <v>14381</v>
      </c>
      <c r="AC235" s="19">
        <f>'FPC wSEB'!AC235</f>
        <v>2</v>
      </c>
      <c r="AD235" s="19">
        <f>'FPC wSEB'!AD235</f>
        <v>13</v>
      </c>
      <c r="AE235" s="51">
        <f t="shared" si="3"/>
        <v>0.25171903559926889</v>
      </c>
    </row>
    <row r="236" spans="1:31">
      <c r="A236" s="2">
        <v>1994</v>
      </c>
      <c r="B236" s="2">
        <v>3</v>
      </c>
      <c r="C236" s="19">
        <f t="shared" si="4"/>
        <v>2029280</v>
      </c>
      <c r="D236" s="19">
        <f>'FPC wSEB'!D236-SEB!D236</f>
        <v>878519</v>
      </c>
      <c r="E236" s="19">
        <f>'FPC wSEB'!E236-SEB!E236</f>
        <v>579618</v>
      </c>
      <c r="F236" s="19">
        <f>'FPC wSEB'!F236-SEB!F236</f>
        <v>272251</v>
      </c>
      <c r="G236" s="19">
        <f>'FPC wSEB'!G236-SEB!G236</f>
        <v>78024</v>
      </c>
      <c r="H236" s="19">
        <f>'FPC wSEB'!H236-SEB!H236</f>
        <v>194227</v>
      </c>
      <c r="I236" s="19">
        <f>'FPC wSEB'!I236-SEB!I236</f>
        <v>2166</v>
      </c>
      <c r="J236" s="19">
        <f>'FPC wSEB'!J236-SEB!J236</f>
        <v>142158</v>
      </c>
      <c r="K236" s="19">
        <f>'FPC wSEB'!K236</f>
        <v>71264</v>
      </c>
      <c r="L236" s="19">
        <f>'FPC wSEB'!L236</f>
        <v>83304</v>
      </c>
      <c r="U236" s="2">
        <v>1994</v>
      </c>
      <c r="V236" s="2">
        <v>3</v>
      </c>
      <c r="W236" s="19">
        <f t="shared" si="5"/>
        <v>1244714</v>
      </c>
      <c r="X236" s="19">
        <f>'FPC wSEB'!X236-SEB!Q236</f>
        <v>1103960</v>
      </c>
      <c r="Y236" s="19">
        <f>'FPC wSEB'!Y236-SEB!R236</f>
        <v>120812</v>
      </c>
      <c r="Z236" s="19">
        <f>'FPC wSEB'!Z236-SEB!S236</f>
        <v>3144</v>
      </c>
      <c r="AA236" s="19">
        <f>'FPC wSEB'!AA236-SEB!T236</f>
        <v>2396</v>
      </c>
      <c r="AB236" s="19">
        <f>'FPC wSEB'!AB236-SEB!U236</f>
        <v>14387</v>
      </c>
      <c r="AC236" s="19">
        <f>'FPC wSEB'!AC236</f>
        <v>2</v>
      </c>
      <c r="AD236" s="19">
        <f>'FPC wSEB'!AD236</f>
        <v>13</v>
      </c>
      <c r="AE236" s="51">
        <f t="shared" si="3"/>
        <v>0.24984797150551641</v>
      </c>
    </row>
    <row r="237" spans="1:31">
      <c r="A237" s="2">
        <v>1994</v>
      </c>
      <c r="B237" s="2">
        <v>4</v>
      </c>
      <c r="C237" s="19">
        <f t="shared" si="4"/>
        <v>2267363</v>
      </c>
      <c r="D237" s="19">
        <f>'FPC wSEB'!D237-SEB!D237</f>
        <v>993223</v>
      </c>
      <c r="E237" s="19">
        <f>'FPC wSEB'!E237-SEB!E237</f>
        <v>677249</v>
      </c>
      <c r="F237" s="19">
        <f>'FPC wSEB'!F237-SEB!F237</f>
        <v>320787</v>
      </c>
      <c r="G237" s="19">
        <f>'FPC wSEB'!G237-SEB!G237</f>
        <v>90401</v>
      </c>
      <c r="H237" s="19">
        <f>'FPC wSEB'!H237-SEB!H237</f>
        <v>230386</v>
      </c>
      <c r="I237" s="19">
        <f>'FPC wSEB'!I237-SEB!I237</f>
        <v>2189</v>
      </c>
      <c r="J237" s="19">
        <f>'FPC wSEB'!J237-SEB!J237</f>
        <v>159036</v>
      </c>
      <c r="K237" s="19">
        <f>'FPC wSEB'!K237</f>
        <v>15623</v>
      </c>
      <c r="L237" s="19">
        <f>'FPC wSEB'!L237</f>
        <v>99256</v>
      </c>
      <c r="U237" s="2">
        <v>1994</v>
      </c>
      <c r="V237" s="2">
        <v>4</v>
      </c>
      <c r="W237" s="19">
        <f t="shared" si="5"/>
        <v>1235885</v>
      </c>
      <c r="X237" s="19">
        <f>'FPC wSEB'!X237-SEB!Q237</f>
        <v>1094817</v>
      </c>
      <c r="Y237" s="19">
        <f>'FPC wSEB'!Y237-SEB!R237</f>
        <v>121045</v>
      </c>
      <c r="Z237" s="19">
        <f>'FPC wSEB'!Z237-SEB!S237</f>
        <v>3181</v>
      </c>
      <c r="AA237" s="19">
        <f>'FPC wSEB'!AA237-SEB!T237</f>
        <v>2394</v>
      </c>
      <c r="AB237" s="19">
        <f>'FPC wSEB'!AB237-SEB!U237</f>
        <v>14432</v>
      </c>
      <c r="AC237" s="19">
        <f>'FPC wSEB'!AC237</f>
        <v>2</v>
      </c>
      <c r="AD237" s="19">
        <f>'FPC wSEB'!AD237</f>
        <v>14</v>
      </c>
      <c r="AE237" s="51">
        <f>AB237/AB225-1</f>
        <v>0.24445977407950337</v>
      </c>
    </row>
    <row r="238" spans="1:31">
      <c r="A238" s="2">
        <v>1994</v>
      </c>
      <c r="B238" s="2">
        <v>5</v>
      </c>
      <c r="C238" s="19">
        <f t="shared" si="4"/>
        <v>2347749</v>
      </c>
      <c r="D238" s="19">
        <f>'FPC wSEB'!D238-SEB!D238</f>
        <v>1070186</v>
      </c>
      <c r="E238" s="19">
        <f>'FPC wSEB'!E238-SEB!E238</f>
        <v>688468</v>
      </c>
      <c r="F238" s="19">
        <f>'FPC wSEB'!F238-SEB!F238</f>
        <v>301246</v>
      </c>
      <c r="G238" s="19">
        <f>'FPC wSEB'!G238-SEB!G238</f>
        <v>80345</v>
      </c>
      <c r="H238" s="19">
        <f>'FPC wSEB'!H238-SEB!H238</f>
        <v>220901</v>
      </c>
      <c r="I238" s="19">
        <f>'FPC wSEB'!I238-SEB!I238</f>
        <v>2172</v>
      </c>
      <c r="J238" s="19">
        <f>'FPC wSEB'!J238-SEB!J238</f>
        <v>166112</v>
      </c>
      <c r="K238" s="19">
        <f>'FPC wSEB'!K238</f>
        <v>5834</v>
      </c>
      <c r="L238" s="19">
        <f>'FPC wSEB'!L238</f>
        <v>113731</v>
      </c>
      <c r="U238" s="2">
        <v>1994</v>
      </c>
      <c r="V238" s="2">
        <v>5</v>
      </c>
      <c r="W238" s="19">
        <f t="shared" si="5"/>
        <v>1220859</v>
      </c>
      <c r="X238" s="19">
        <f>'FPC wSEB'!X238-SEB!Q238</f>
        <v>1079400</v>
      </c>
      <c r="Y238" s="19">
        <f>'FPC wSEB'!Y238-SEB!R238</f>
        <v>121364</v>
      </c>
      <c r="Z238" s="19">
        <f>'FPC wSEB'!Z238-SEB!S238</f>
        <v>3176</v>
      </c>
      <c r="AA238" s="19">
        <f>'FPC wSEB'!AA238-SEB!T238</f>
        <v>2403</v>
      </c>
      <c r="AB238" s="19">
        <f>'FPC wSEB'!AB238-SEB!U238</f>
        <v>14500</v>
      </c>
      <c r="AC238" s="19">
        <f>'FPC wSEB'!AC238</f>
        <v>2</v>
      </c>
      <c r="AD238" s="19">
        <f>'FPC wSEB'!AD238</f>
        <v>14</v>
      </c>
      <c r="AE238" s="51">
        <f t="shared" ref="AE238:AE253" si="6">AB238/AB226-1</f>
        <v>0.26306620209059228</v>
      </c>
    </row>
    <row r="239" spans="1:31">
      <c r="A239" s="2">
        <v>1994</v>
      </c>
      <c r="B239" s="2">
        <v>6</v>
      </c>
      <c r="C239" s="19">
        <f t="shared" si="4"/>
        <v>2611414</v>
      </c>
      <c r="D239" s="19">
        <f>'FPC wSEB'!D239-SEB!D239</f>
        <v>1240447</v>
      </c>
      <c r="E239" s="19">
        <f>'FPC wSEB'!E239-SEB!E239</f>
        <v>738985</v>
      </c>
      <c r="F239" s="19">
        <f>'FPC wSEB'!F239-SEB!F239</f>
        <v>306980</v>
      </c>
      <c r="G239" s="19">
        <f>'FPC wSEB'!G239-SEB!G239</f>
        <v>83028</v>
      </c>
      <c r="H239" s="19">
        <f>'FPC wSEB'!H239-SEB!H239</f>
        <v>223952</v>
      </c>
      <c r="I239" s="19">
        <f>'FPC wSEB'!I239-SEB!I239</f>
        <v>2176</v>
      </c>
      <c r="J239" s="19">
        <f>'FPC wSEB'!J239-SEB!J239</f>
        <v>169151</v>
      </c>
      <c r="K239" s="19">
        <f>'FPC wSEB'!K239</f>
        <v>11916</v>
      </c>
      <c r="L239" s="19">
        <f>'FPC wSEB'!L239</f>
        <v>141759</v>
      </c>
      <c r="U239" s="2">
        <v>1994</v>
      </c>
      <c r="V239" s="2">
        <v>6</v>
      </c>
      <c r="W239" s="19">
        <f t="shared" si="5"/>
        <v>1217545</v>
      </c>
      <c r="X239" s="19">
        <f>'FPC wSEB'!X239-SEB!Q239</f>
        <v>1075908</v>
      </c>
      <c r="Y239" s="19">
        <f>'FPC wSEB'!Y239-SEB!R239</f>
        <v>121441</v>
      </c>
      <c r="Z239" s="19">
        <f>'FPC wSEB'!Z239-SEB!S239</f>
        <v>3202</v>
      </c>
      <c r="AA239" s="19">
        <f>'FPC wSEB'!AA239-SEB!T239</f>
        <v>2402</v>
      </c>
      <c r="AB239" s="19">
        <f>'FPC wSEB'!AB239-SEB!U239</f>
        <v>14576</v>
      </c>
      <c r="AC239" s="19">
        <f>'FPC wSEB'!AC239</f>
        <v>2</v>
      </c>
      <c r="AD239" s="19">
        <f>'FPC wSEB'!AD239</f>
        <v>14</v>
      </c>
      <c r="AE239" s="51">
        <f t="shared" si="6"/>
        <v>0.22931601585561268</v>
      </c>
    </row>
    <row r="240" spans="1:31">
      <c r="A240" s="2">
        <v>1994</v>
      </c>
      <c r="B240" s="2">
        <v>7</v>
      </c>
      <c r="C240" s="19">
        <f t="shared" si="4"/>
        <v>2877275</v>
      </c>
      <c r="D240" s="19">
        <f>'FPC wSEB'!D240-SEB!D240</f>
        <v>1433026</v>
      </c>
      <c r="E240" s="19">
        <f>'FPC wSEB'!E240-SEB!E240</f>
        <v>774004</v>
      </c>
      <c r="F240" s="19">
        <f>'FPC wSEB'!F240-SEB!F240</f>
        <v>308391</v>
      </c>
      <c r="G240" s="19">
        <f>'FPC wSEB'!G240-SEB!G240</f>
        <v>80184</v>
      </c>
      <c r="H240" s="19">
        <f>'FPC wSEB'!H240-SEB!H240</f>
        <v>228207</v>
      </c>
      <c r="I240" s="19">
        <f>'FPC wSEB'!I240-SEB!I240</f>
        <v>2193</v>
      </c>
      <c r="J240" s="19">
        <f>'FPC wSEB'!J240-SEB!J240</f>
        <v>170662</v>
      </c>
      <c r="K240" s="19">
        <f>'FPC wSEB'!K240</f>
        <v>39872</v>
      </c>
      <c r="L240" s="19">
        <f>'FPC wSEB'!L240</f>
        <v>149127</v>
      </c>
      <c r="U240" s="2">
        <v>1994</v>
      </c>
      <c r="V240" s="2">
        <v>7</v>
      </c>
      <c r="W240" s="19">
        <f t="shared" si="5"/>
        <v>1217473</v>
      </c>
      <c r="X240" s="19">
        <f>'FPC wSEB'!X240-SEB!Q240</f>
        <v>1075588</v>
      </c>
      <c r="Y240" s="19">
        <f>'FPC wSEB'!Y240-SEB!R240</f>
        <v>121681</v>
      </c>
      <c r="Z240" s="19">
        <f>'FPC wSEB'!Z240-SEB!S240</f>
        <v>3199</v>
      </c>
      <c r="AA240" s="19">
        <f>'FPC wSEB'!AA240-SEB!T240</f>
        <v>2406</v>
      </c>
      <c r="AB240" s="19">
        <f>'FPC wSEB'!AB240-SEB!U240</f>
        <v>14583</v>
      </c>
      <c r="AC240" s="19">
        <f>'FPC wSEB'!AC240</f>
        <v>2</v>
      </c>
      <c r="AD240" s="19">
        <f>'FPC wSEB'!AD240</f>
        <v>14</v>
      </c>
      <c r="AE240" s="51">
        <f t="shared" si="6"/>
        <v>0.20900348200961694</v>
      </c>
    </row>
    <row r="241" spans="1:31">
      <c r="A241" s="2">
        <v>1994</v>
      </c>
      <c r="B241" s="2">
        <v>8</v>
      </c>
      <c r="C241" s="19">
        <f t="shared" si="4"/>
        <v>2793266</v>
      </c>
      <c r="D241" s="19">
        <f>'FPC wSEB'!D241-SEB!D241</f>
        <v>1355248</v>
      </c>
      <c r="E241" s="19">
        <f>'FPC wSEB'!E241-SEB!E241</f>
        <v>750689</v>
      </c>
      <c r="F241" s="19">
        <f>'FPC wSEB'!F241-SEB!F241</f>
        <v>298600</v>
      </c>
      <c r="G241" s="19">
        <f>'FPC wSEB'!G241-SEB!G241</f>
        <v>84244</v>
      </c>
      <c r="H241" s="19">
        <f>'FPC wSEB'!H241-SEB!H241</f>
        <v>214356</v>
      </c>
      <c r="I241" s="19">
        <f>'FPC wSEB'!I241-SEB!I241</f>
        <v>2200</v>
      </c>
      <c r="J241" s="19">
        <f>'FPC wSEB'!J241-SEB!J241</f>
        <v>163990</v>
      </c>
      <c r="K241" s="19">
        <f>'FPC wSEB'!K241</f>
        <v>77007</v>
      </c>
      <c r="L241" s="19">
        <f>'FPC wSEB'!L241</f>
        <v>145532</v>
      </c>
      <c r="U241" s="2">
        <v>1994</v>
      </c>
      <c r="V241" s="2">
        <v>8</v>
      </c>
      <c r="W241" s="19">
        <f t="shared" si="5"/>
        <v>1218838</v>
      </c>
      <c r="X241" s="19">
        <f>'FPC wSEB'!X241-SEB!Q241</f>
        <v>1076781</v>
      </c>
      <c r="Y241" s="19">
        <f>'FPC wSEB'!Y241-SEB!R241</f>
        <v>121800</v>
      </c>
      <c r="Z241" s="19">
        <f>'FPC wSEB'!Z241-SEB!S241</f>
        <v>3214</v>
      </c>
      <c r="AA241" s="19">
        <f>'FPC wSEB'!AA241-SEB!T241</f>
        <v>2411</v>
      </c>
      <c r="AB241" s="19">
        <f>'FPC wSEB'!AB241-SEB!U241</f>
        <v>14616</v>
      </c>
      <c r="AC241" s="19">
        <f>'FPC wSEB'!AC241</f>
        <v>2</v>
      </c>
      <c r="AD241" s="19">
        <f>'FPC wSEB'!AD241</f>
        <v>14</v>
      </c>
      <c r="AE241" s="51">
        <f t="shared" si="6"/>
        <v>0.15669515669515666</v>
      </c>
    </row>
    <row r="242" spans="1:31">
      <c r="A242" s="2">
        <v>1994</v>
      </c>
      <c r="B242" s="2">
        <v>9</v>
      </c>
      <c r="C242" s="19">
        <f t="shared" ref="C242:C257" si="7">SUM(D242:F242,I242:L242)</f>
        <v>2920696</v>
      </c>
      <c r="D242" s="19">
        <f>'FPC wSEB'!D242-SEB!D242</f>
        <v>1391722</v>
      </c>
      <c r="E242" s="19">
        <f>'FPC wSEB'!E242-SEB!E242</f>
        <v>789825</v>
      </c>
      <c r="F242" s="19">
        <f>'FPC wSEB'!F242-SEB!F242</f>
        <v>326733</v>
      </c>
      <c r="G242" s="19">
        <f>'FPC wSEB'!G242-SEB!G242</f>
        <v>96843</v>
      </c>
      <c r="H242" s="19">
        <f>'FPC wSEB'!H242-SEB!H242</f>
        <v>229890</v>
      </c>
      <c r="I242" s="19">
        <f>'FPC wSEB'!I242-SEB!I242</f>
        <v>2187</v>
      </c>
      <c r="J242" s="19">
        <f>'FPC wSEB'!J242-SEB!J242</f>
        <v>192179</v>
      </c>
      <c r="K242" s="19">
        <f>'FPC wSEB'!K242</f>
        <v>72769</v>
      </c>
      <c r="L242" s="19">
        <f>'FPC wSEB'!L242</f>
        <v>145281</v>
      </c>
      <c r="U242" s="2">
        <v>1994</v>
      </c>
      <c r="V242" s="2">
        <v>9</v>
      </c>
      <c r="W242" s="19">
        <f t="shared" ref="W242:W257" si="8">SUM(X242:AD242)</f>
        <v>1221684</v>
      </c>
      <c r="X242" s="19">
        <f>'FPC wSEB'!X242-SEB!Q242</f>
        <v>1079130</v>
      </c>
      <c r="Y242" s="19">
        <f>'FPC wSEB'!Y242-SEB!R242</f>
        <v>122193</v>
      </c>
      <c r="Z242" s="19">
        <f>'FPC wSEB'!Z242-SEB!S242</f>
        <v>3231</v>
      </c>
      <c r="AA242" s="19">
        <f>'FPC wSEB'!AA242-SEB!T242</f>
        <v>2413</v>
      </c>
      <c r="AB242" s="19">
        <f>'FPC wSEB'!AB242-SEB!U242</f>
        <v>14702</v>
      </c>
      <c r="AC242" s="19">
        <f>'FPC wSEB'!AC242</f>
        <v>2</v>
      </c>
      <c r="AD242" s="19">
        <f>'FPC wSEB'!AD242</f>
        <v>13</v>
      </c>
      <c r="AE242" s="50">
        <f t="shared" si="6"/>
        <v>6.1133164922410721E-2</v>
      </c>
    </row>
    <row r="243" spans="1:31">
      <c r="A243" s="2">
        <v>1994</v>
      </c>
      <c r="B243" s="2">
        <v>10</v>
      </c>
      <c r="C243" s="19">
        <f t="shared" si="7"/>
        <v>2543146</v>
      </c>
      <c r="D243" s="19">
        <f>'FPC wSEB'!D243-SEB!D243</f>
        <v>1160956</v>
      </c>
      <c r="E243" s="19">
        <f>'FPC wSEB'!E243-SEB!E243</f>
        <v>713258</v>
      </c>
      <c r="F243" s="19">
        <f>'FPC wSEB'!F243-SEB!F243</f>
        <v>295256</v>
      </c>
      <c r="G243" s="19">
        <f>'FPC wSEB'!G243-SEB!G243</f>
        <v>85580</v>
      </c>
      <c r="H243" s="19">
        <f>'FPC wSEB'!H243-SEB!H243</f>
        <v>209676</v>
      </c>
      <c r="I243" s="19">
        <f>'FPC wSEB'!I243-SEB!I243</f>
        <v>2210</v>
      </c>
      <c r="J243" s="19">
        <f>'FPC wSEB'!J243-SEB!J243</f>
        <v>175631</v>
      </c>
      <c r="K243" s="19">
        <f>'FPC wSEB'!K243</f>
        <v>70769</v>
      </c>
      <c r="L243" s="19">
        <f>'FPC wSEB'!L243</f>
        <v>125066</v>
      </c>
      <c r="U243" s="2">
        <v>1994</v>
      </c>
      <c r="V243" s="2">
        <v>10</v>
      </c>
      <c r="W243" s="19">
        <f t="shared" si="8"/>
        <v>1228528</v>
      </c>
      <c r="X243" s="19">
        <f>'FPC wSEB'!X243-SEB!Q243</f>
        <v>1085565</v>
      </c>
      <c r="Y243" s="19">
        <f>'FPC wSEB'!Y243-SEB!R243</f>
        <v>122558</v>
      </c>
      <c r="Z243" s="19">
        <f>'FPC wSEB'!Z243-SEB!S243</f>
        <v>3228</v>
      </c>
      <c r="AA243" s="19">
        <f>'FPC wSEB'!AA243-SEB!T243</f>
        <v>2405</v>
      </c>
      <c r="AB243" s="19">
        <f>'FPC wSEB'!AB243-SEB!U243</f>
        <v>14757</v>
      </c>
      <c r="AC243" s="19">
        <f>'FPC wSEB'!AC243</f>
        <v>2</v>
      </c>
      <c r="AD243" s="19">
        <f>'FPC wSEB'!AD243</f>
        <v>13</v>
      </c>
      <c r="AE243" s="50">
        <f t="shared" si="6"/>
        <v>3.6160651593877269E-2</v>
      </c>
    </row>
    <row r="244" spans="1:31">
      <c r="A244" s="2">
        <v>1994</v>
      </c>
      <c r="B244" s="2">
        <v>11</v>
      </c>
      <c r="C244" s="19">
        <f t="shared" si="7"/>
        <v>2253506</v>
      </c>
      <c r="D244" s="19">
        <f>'FPC wSEB'!D244-SEB!D244</f>
        <v>972090</v>
      </c>
      <c r="E244" s="19">
        <f>'FPC wSEB'!E244-SEB!E244</f>
        <v>675875</v>
      </c>
      <c r="F244" s="19">
        <f>'FPC wSEB'!F244-SEB!F244</f>
        <v>287584</v>
      </c>
      <c r="G244" s="19">
        <f>'FPC wSEB'!G244-SEB!G244</f>
        <v>77942</v>
      </c>
      <c r="H244" s="19">
        <f>'FPC wSEB'!H244-SEB!H244</f>
        <v>209642</v>
      </c>
      <c r="I244" s="19">
        <f>'FPC wSEB'!I244-SEB!I244</f>
        <v>2224</v>
      </c>
      <c r="J244" s="19">
        <f>'FPC wSEB'!J244-SEB!J244</f>
        <v>165379</v>
      </c>
      <c r="K244" s="19">
        <f>'FPC wSEB'!K244</f>
        <v>48471</v>
      </c>
      <c r="L244" s="19">
        <f>'FPC wSEB'!L244</f>
        <v>101883</v>
      </c>
      <c r="U244" s="2">
        <v>1994</v>
      </c>
      <c r="V244" s="2">
        <v>11</v>
      </c>
      <c r="W244" s="19">
        <f t="shared" si="8"/>
        <v>1243253</v>
      </c>
      <c r="X244" s="19">
        <f>'FPC wSEB'!X244-SEB!Q244</f>
        <v>1099994</v>
      </c>
      <c r="Y244" s="19">
        <f>'FPC wSEB'!Y244-SEB!R244</f>
        <v>122825</v>
      </c>
      <c r="Z244" s="19">
        <f>'FPC wSEB'!Z244-SEB!S244</f>
        <v>3220</v>
      </c>
      <c r="AA244" s="19">
        <f>'FPC wSEB'!AA244-SEB!T244</f>
        <v>2395</v>
      </c>
      <c r="AB244" s="19">
        <f>'FPC wSEB'!AB244-SEB!U244</f>
        <v>14804</v>
      </c>
      <c r="AC244" s="19">
        <f>'FPC wSEB'!AC244</f>
        <v>2</v>
      </c>
      <c r="AD244" s="19">
        <f>'FPC wSEB'!AD244</f>
        <v>13</v>
      </c>
      <c r="AE244" s="50">
        <f t="shared" si="6"/>
        <v>4.1948198198198172E-2</v>
      </c>
    </row>
    <row r="245" spans="1:31">
      <c r="A245" s="2">
        <v>1994</v>
      </c>
      <c r="B245" s="2">
        <v>12</v>
      </c>
      <c r="C245" s="19">
        <f t="shared" si="7"/>
        <v>2156265</v>
      </c>
      <c r="D245" s="19">
        <f>'FPC wSEB'!D245-SEB!D245</f>
        <v>936034</v>
      </c>
      <c r="E245" s="19">
        <f>'FPC wSEB'!E245-SEB!E245</f>
        <v>657967</v>
      </c>
      <c r="F245" s="19">
        <f>'FPC wSEB'!F245-SEB!F245</f>
        <v>303821</v>
      </c>
      <c r="G245" s="19">
        <f>'FPC wSEB'!G245-SEB!G245</f>
        <v>86666</v>
      </c>
      <c r="H245" s="19">
        <f>'FPC wSEB'!H245-SEB!H245</f>
        <v>217155</v>
      </c>
      <c r="I245" s="19">
        <f>'FPC wSEB'!I245-SEB!I245</f>
        <v>2215</v>
      </c>
      <c r="J245" s="19">
        <f>'FPC wSEB'!J245-SEB!J245</f>
        <v>160003</v>
      </c>
      <c r="K245" s="19">
        <f>'FPC wSEB'!K245</f>
        <v>10727</v>
      </c>
      <c r="L245" s="19">
        <f>'FPC wSEB'!L245</f>
        <v>85498</v>
      </c>
      <c r="U245" s="2">
        <v>1994</v>
      </c>
      <c r="V245" s="2">
        <v>12</v>
      </c>
      <c r="W245" s="19">
        <f t="shared" si="8"/>
        <v>1254693</v>
      </c>
      <c r="X245" s="19">
        <f>'FPC wSEB'!X245-SEB!Q245</f>
        <v>1111197</v>
      </c>
      <c r="Y245" s="19">
        <f>'FPC wSEB'!Y245-SEB!R245</f>
        <v>123019</v>
      </c>
      <c r="Z245" s="19">
        <f>'FPC wSEB'!Z245-SEB!S245</f>
        <v>3219</v>
      </c>
      <c r="AA245" s="19">
        <f>'FPC wSEB'!AA245-SEB!T245</f>
        <v>2388</v>
      </c>
      <c r="AB245" s="19">
        <f>'FPC wSEB'!AB245-SEB!U245</f>
        <v>14855</v>
      </c>
      <c r="AC245" s="19">
        <f>'FPC wSEB'!AC245</f>
        <v>2</v>
      </c>
      <c r="AD245" s="19">
        <f>'FPC wSEB'!AD245</f>
        <v>13</v>
      </c>
      <c r="AE245" s="50">
        <f t="shared" si="6"/>
        <v>3.9029166958103101E-2</v>
      </c>
    </row>
    <row r="246" spans="1:31">
      <c r="A246" s="2">
        <v>1995</v>
      </c>
      <c r="B246" s="2">
        <v>1</v>
      </c>
      <c r="C246" s="19">
        <f t="shared" si="7"/>
        <v>2205254</v>
      </c>
      <c r="D246" s="19">
        <f>'FPC wSEB'!D246-SEB!D246</f>
        <v>1098745</v>
      </c>
      <c r="E246" s="19">
        <f>'FPC wSEB'!E246-SEB!E246</f>
        <v>594514</v>
      </c>
      <c r="F246" s="19">
        <f>'FPC wSEB'!F246-SEB!F246</f>
        <v>286886</v>
      </c>
      <c r="G246" s="19">
        <f>'FPC wSEB'!G246-SEB!G246</f>
        <v>90999</v>
      </c>
      <c r="H246" s="19">
        <f>'FPC wSEB'!H246-SEB!H246</f>
        <v>195887</v>
      </c>
      <c r="I246" s="19">
        <f>'FPC wSEB'!I246-SEB!I246</f>
        <v>2220</v>
      </c>
      <c r="J246" s="19">
        <f>'FPC wSEB'!J246-SEB!J246</f>
        <v>140745</v>
      </c>
      <c r="K246" s="19">
        <f>'FPC wSEB'!K246</f>
        <v>2165</v>
      </c>
      <c r="L246" s="19">
        <f>'FPC wSEB'!L246</f>
        <v>79979</v>
      </c>
      <c r="U246" s="2">
        <v>1995</v>
      </c>
      <c r="V246" s="2">
        <v>1</v>
      </c>
      <c r="W246" s="19">
        <f t="shared" si="8"/>
        <v>1262865</v>
      </c>
      <c r="X246" s="19">
        <f>'FPC wSEB'!X246-SEB!Q246</f>
        <v>1119342</v>
      </c>
      <c r="Y246" s="19">
        <f>'FPC wSEB'!Y246-SEB!R246</f>
        <v>122971</v>
      </c>
      <c r="Z246" s="19">
        <f>'FPC wSEB'!Z246-SEB!S246</f>
        <v>3235</v>
      </c>
      <c r="AA246" s="19">
        <f>'FPC wSEB'!AA246-SEB!T246</f>
        <v>2385</v>
      </c>
      <c r="AB246" s="19">
        <f>'FPC wSEB'!AB246-SEB!U246</f>
        <v>14916</v>
      </c>
      <c r="AC246" s="19">
        <f>'FPC wSEB'!AC246</f>
        <v>2</v>
      </c>
      <c r="AD246" s="19">
        <f>'FPC wSEB'!AD246</f>
        <v>14</v>
      </c>
      <c r="AE246" s="50">
        <f t="shared" si="6"/>
        <v>3.944250871080146E-2</v>
      </c>
    </row>
    <row r="247" spans="1:31">
      <c r="A247" s="2">
        <v>1995</v>
      </c>
      <c r="B247" s="2">
        <v>2</v>
      </c>
      <c r="C247" s="19">
        <f t="shared" si="7"/>
        <v>2330204</v>
      </c>
      <c r="D247" s="19">
        <f>'FPC wSEB'!D247-SEB!D247</f>
        <v>1234999</v>
      </c>
      <c r="E247" s="19">
        <f>'FPC wSEB'!E247-SEB!E247</f>
        <v>570187</v>
      </c>
      <c r="F247" s="19">
        <f>'FPC wSEB'!F247-SEB!F247</f>
        <v>292513</v>
      </c>
      <c r="G247" s="19">
        <f>'FPC wSEB'!G247-SEB!G247</f>
        <v>94195</v>
      </c>
      <c r="H247" s="19">
        <f>'FPC wSEB'!H247-SEB!H247</f>
        <v>198318</v>
      </c>
      <c r="I247" s="19">
        <f>'FPC wSEB'!I247-SEB!I247</f>
        <v>2264</v>
      </c>
      <c r="J247" s="19">
        <f>'FPC wSEB'!J247-SEB!J247</f>
        <v>144568</v>
      </c>
      <c r="K247" s="19">
        <f>'FPC wSEB'!K247</f>
        <v>10701</v>
      </c>
      <c r="L247" s="19">
        <f>'FPC wSEB'!L247</f>
        <v>74972</v>
      </c>
      <c r="U247" s="2">
        <v>1995</v>
      </c>
      <c r="V247" s="2">
        <v>2</v>
      </c>
      <c r="W247" s="19">
        <f t="shared" si="8"/>
        <v>1267261</v>
      </c>
      <c r="X247" s="19">
        <f>'FPC wSEB'!X247-SEB!Q247</f>
        <v>1123667</v>
      </c>
      <c r="Y247" s="19">
        <f>'FPC wSEB'!Y247-SEB!R247</f>
        <v>123000</v>
      </c>
      <c r="Z247" s="19">
        <f>'FPC wSEB'!Z247-SEB!S247</f>
        <v>3228</v>
      </c>
      <c r="AA247" s="19">
        <f>'FPC wSEB'!AA247-SEB!T247</f>
        <v>2388</v>
      </c>
      <c r="AB247" s="19">
        <f>'FPC wSEB'!AB247-SEB!U247</f>
        <v>14963</v>
      </c>
      <c r="AC247" s="19">
        <f>'FPC wSEB'!AC247</f>
        <v>2</v>
      </c>
      <c r="AD247" s="19">
        <f>'FPC wSEB'!AD247</f>
        <v>13</v>
      </c>
      <c r="AE247" s="50">
        <f t="shared" si="6"/>
        <v>4.0470064668659989E-2</v>
      </c>
    </row>
    <row r="248" spans="1:31">
      <c r="A248" s="2">
        <v>1995</v>
      </c>
      <c r="B248" s="2">
        <v>3</v>
      </c>
      <c r="C248" s="19">
        <f t="shared" si="7"/>
        <v>2112326</v>
      </c>
      <c r="D248" s="19">
        <f>'FPC wSEB'!D248-SEB!D248</f>
        <v>959280</v>
      </c>
      <c r="E248" s="19">
        <f>'FPC wSEB'!E248-SEB!E248</f>
        <v>588491</v>
      </c>
      <c r="F248" s="19">
        <f>'FPC wSEB'!F248-SEB!F248</f>
        <v>281074</v>
      </c>
      <c r="G248" s="19">
        <f>'FPC wSEB'!G248-SEB!G248</f>
        <v>89880</v>
      </c>
      <c r="H248" s="19">
        <f>'FPC wSEB'!H248-SEB!H248</f>
        <v>191194</v>
      </c>
      <c r="I248" s="19">
        <f>'FPC wSEB'!I248-SEB!I248</f>
        <v>2184</v>
      </c>
      <c r="J248" s="19">
        <f>'FPC wSEB'!J248-SEB!J248</f>
        <v>148128</v>
      </c>
      <c r="K248" s="19">
        <f>'FPC wSEB'!K248</f>
        <v>51523</v>
      </c>
      <c r="L248" s="19">
        <f>'FPC wSEB'!L248</f>
        <v>81646</v>
      </c>
      <c r="U248" s="2">
        <v>1995</v>
      </c>
      <c r="V248" s="2">
        <v>3</v>
      </c>
      <c r="W248" s="19">
        <f t="shared" si="8"/>
        <v>1244269</v>
      </c>
      <c r="X248" s="19">
        <f>'FPC wSEB'!X248-SEB!Q248</f>
        <v>1105310</v>
      </c>
      <c r="Y248" s="19">
        <f>'FPC wSEB'!Y248-SEB!R248</f>
        <v>119033</v>
      </c>
      <c r="Z248" s="19">
        <f>'FPC wSEB'!Z248-SEB!S248</f>
        <v>2985</v>
      </c>
      <c r="AA248" s="19">
        <f>'FPC wSEB'!AA248-SEB!T248</f>
        <v>2240</v>
      </c>
      <c r="AB248" s="19">
        <f>'FPC wSEB'!AB248-SEB!U248</f>
        <v>14686</v>
      </c>
      <c r="AC248" s="19">
        <f>'FPC wSEB'!AC248</f>
        <v>2</v>
      </c>
      <c r="AD248" s="19">
        <f>'FPC wSEB'!AD248</f>
        <v>13</v>
      </c>
      <c r="AE248" s="50">
        <f t="shared" si="6"/>
        <v>2.0782651004378927E-2</v>
      </c>
    </row>
    <row r="249" spans="1:31">
      <c r="A249" s="2">
        <v>1995</v>
      </c>
      <c r="B249" s="2">
        <v>4</v>
      </c>
      <c r="C249" s="19">
        <f t="shared" si="7"/>
        <v>2280949</v>
      </c>
      <c r="D249" s="19">
        <f>'FPC wSEB'!D249-SEB!D249</f>
        <v>965782</v>
      </c>
      <c r="E249" s="19">
        <f>'FPC wSEB'!E249-SEB!E249</f>
        <v>682449</v>
      </c>
      <c r="F249" s="19">
        <f>'FPC wSEB'!F249-SEB!F249</f>
        <v>343083</v>
      </c>
      <c r="G249" s="19">
        <f>'FPC wSEB'!G249-SEB!G249</f>
        <v>102775</v>
      </c>
      <c r="H249" s="19">
        <f>'FPC wSEB'!H249-SEB!H249</f>
        <v>240308</v>
      </c>
      <c r="I249" s="19">
        <f>'FPC wSEB'!I249-SEB!I249</f>
        <v>2253</v>
      </c>
      <c r="J249" s="19">
        <f>'FPC wSEB'!J249-SEB!J249</f>
        <v>165209</v>
      </c>
      <c r="K249" s="19">
        <f>'FPC wSEB'!K249</f>
        <v>45577</v>
      </c>
      <c r="L249" s="19">
        <f>'FPC wSEB'!L249</f>
        <v>76596</v>
      </c>
      <c r="U249" s="2">
        <v>1995</v>
      </c>
      <c r="V249" s="2">
        <v>4</v>
      </c>
      <c r="W249" s="19">
        <f t="shared" si="8"/>
        <v>1319311</v>
      </c>
      <c r="X249" s="19">
        <f>'FPC wSEB'!X249-SEB!Q249</f>
        <v>1167551</v>
      </c>
      <c r="Y249" s="19">
        <f>'FPC wSEB'!Y249-SEB!R249</f>
        <v>130079</v>
      </c>
      <c r="Z249" s="19">
        <f>'FPC wSEB'!Z249-SEB!S249</f>
        <v>3498</v>
      </c>
      <c r="AA249" s="19">
        <f>'FPC wSEB'!AA249-SEB!T249</f>
        <v>2510</v>
      </c>
      <c r="AB249" s="19">
        <f>'FPC wSEB'!AB249-SEB!U249</f>
        <v>15656</v>
      </c>
      <c r="AC249" s="19">
        <f>'FPC wSEB'!AC249</f>
        <v>2</v>
      </c>
      <c r="AD249" s="19">
        <f>'FPC wSEB'!AD249</f>
        <v>15</v>
      </c>
      <c r="AE249" s="50">
        <f t="shared" si="6"/>
        <v>8.4811529933481067E-2</v>
      </c>
    </row>
    <row r="250" spans="1:31">
      <c r="A250" s="2">
        <v>1995</v>
      </c>
      <c r="B250" s="2">
        <v>5</v>
      </c>
      <c r="C250" s="19">
        <f t="shared" si="7"/>
        <v>2417879</v>
      </c>
      <c r="D250" s="19">
        <f>'FPC wSEB'!D250-SEB!D250</f>
        <v>1136257</v>
      </c>
      <c r="E250" s="19">
        <f>'FPC wSEB'!E250-SEB!E250</f>
        <v>711128</v>
      </c>
      <c r="F250" s="19">
        <f>'FPC wSEB'!F250-SEB!F250</f>
        <v>317815</v>
      </c>
      <c r="G250" s="19">
        <f>'FPC wSEB'!G250-SEB!G250</f>
        <v>92253</v>
      </c>
      <c r="H250" s="19">
        <f>'FPC wSEB'!H250-SEB!H250</f>
        <v>225562</v>
      </c>
      <c r="I250" s="19">
        <f>'FPC wSEB'!I250-SEB!I250</f>
        <v>2252</v>
      </c>
      <c r="J250" s="19">
        <f>'FPC wSEB'!J250-SEB!J250</f>
        <v>173066</v>
      </c>
      <c r="K250" s="19">
        <f>'FPC wSEB'!K250</f>
        <v>2678</v>
      </c>
      <c r="L250" s="19">
        <f>'FPC wSEB'!L250</f>
        <v>74683</v>
      </c>
      <c r="U250" s="2">
        <v>1995</v>
      </c>
      <c r="V250" s="2">
        <v>5</v>
      </c>
      <c r="W250" s="19">
        <f t="shared" si="8"/>
        <v>1226546</v>
      </c>
      <c r="X250" s="19">
        <f>'FPC wSEB'!X250-SEB!Q250</f>
        <v>1084535</v>
      </c>
      <c r="Y250" s="19">
        <f>'FPC wSEB'!Y250-SEB!R250</f>
        <v>121422</v>
      </c>
      <c r="Z250" s="19">
        <f>'FPC wSEB'!Z250-SEB!S250</f>
        <v>3130</v>
      </c>
      <c r="AA250" s="19">
        <f>'FPC wSEB'!AA250-SEB!T250</f>
        <v>2404</v>
      </c>
      <c r="AB250" s="19">
        <f>'FPC wSEB'!AB250-SEB!U250</f>
        <v>15040</v>
      </c>
      <c r="AC250" s="19">
        <f>'FPC wSEB'!AC250</f>
        <v>2</v>
      </c>
      <c r="AD250" s="19">
        <f>'FPC wSEB'!AD250</f>
        <v>13</v>
      </c>
      <c r="AE250" s="50">
        <f t="shared" si="6"/>
        <v>3.7241379310344769E-2</v>
      </c>
    </row>
    <row r="251" spans="1:31">
      <c r="A251" s="2">
        <v>1995</v>
      </c>
      <c r="B251" s="2">
        <v>6</v>
      </c>
      <c r="C251" s="19">
        <f t="shared" si="7"/>
        <v>2906218</v>
      </c>
      <c r="D251" s="19">
        <f>'FPC wSEB'!D251-SEB!D251</f>
        <v>1462035</v>
      </c>
      <c r="E251" s="19">
        <f>'FPC wSEB'!E251-SEB!E251</f>
        <v>797940</v>
      </c>
      <c r="F251" s="19">
        <f>'FPC wSEB'!F251-SEB!F251</f>
        <v>340648</v>
      </c>
      <c r="G251" s="19">
        <f>'FPC wSEB'!G251-SEB!G251</f>
        <v>100935</v>
      </c>
      <c r="H251" s="19">
        <f>'FPC wSEB'!H251-SEB!H251</f>
        <v>239713</v>
      </c>
      <c r="I251" s="19">
        <f>'FPC wSEB'!I251-SEB!I251</f>
        <v>2277</v>
      </c>
      <c r="J251" s="19">
        <f>'FPC wSEB'!J251-SEB!J251</f>
        <v>190770</v>
      </c>
      <c r="K251" s="19">
        <f>'FPC wSEB'!K251</f>
        <v>9639</v>
      </c>
      <c r="L251" s="19">
        <f>'FPC wSEB'!L251</f>
        <v>102909</v>
      </c>
      <c r="U251" s="2">
        <v>1995</v>
      </c>
      <c r="V251" s="2">
        <v>6</v>
      </c>
      <c r="W251" s="19">
        <f t="shared" si="8"/>
        <v>1251517</v>
      </c>
      <c r="X251" s="19">
        <f>'FPC wSEB'!X251-SEB!Q251</f>
        <v>1105497</v>
      </c>
      <c r="Y251" s="19">
        <f>'FPC wSEB'!Y251-SEB!R251</f>
        <v>125246</v>
      </c>
      <c r="Z251" s="19">
        <f>'FPC wSEB'!Z251-SEB!S251</f>
        <v>3148</v>
      </c>
      <c r="AA251" s="19">
        <f>'FPC wSEB'!AA251-SEB!T251</f>
        <v>2415</v>
      </c>
      <c r="AB251" s="19">
        <f>'FPC wSEB'!AB251-SEB!U251</f>
        <v>15196</v>
      </c>
      <c r="AC251" s="19">
        <f>'FPC wSEB'!AC251</f>
        <v>2</v>
      </c>
      <c r="AD251" s="19">
        <f>'FPC wSEB'!AD251</f>
        <v>13</v>
      </c>
      <c r="AE251" s="50">
        <f t="shared" si="6"/>
        <v>4.253567508232714E-2</v>
      </c>
    </row>
    <row r="252" spans="1:31">
      <c r="A252" s="2">
        <v>1995</v>
      </c>
      <c r="B252" s="2">
        <v>7</v>
      </c>
      <c r="C252" s="19">
        <f t="shared" si="7"/>
        <v>2933319</v>
      </c>
      <c r="D252" s="19">
        <f>'FPC wSEB'!D252-SEB!D252</f>
        <v>1456343</v>
      </c>
      <c r="E252" s="19">
        <f>'FPC wSEB'!E252-SEB!E252</f>
        <v>780704</v>
      </c>
      <c r="F252" s="19">
        <f>'FPC wSEB'!F252-SEB!F252</f>
        <v>319163</v>
      </c>
      <c r="G252" s="19">
        <f>'FPC wSEB'!G252-SEB!G252</f>
        <v>101594</v>
      </c>
      <c r="H252" s="19">
        <f>'FPC wSEB'!H252-SEB!H252</f>
        <v>217569</v>
      </c>
      <c r="I252" s="19">
        <f>'FPC wSEB'!I252-SEB!I252</f>
        <v>2269</v>
      </c>
      <c r="J252" s="19">
        <f>'FPC wSEB'!J252-SEB!J252</f>
        <v>169477</v>
      </c>
      <c r="K252" s="19">
        <f>'FPC wSEB'!K252</f>
        <v>89524</v>
      </c>
      <c r="L252" s="19">
        <f>'FPC wSEB'!L252</f>
        <v>115839</v>
      </c>
      <c r="U252" s="2">
        <v>1995</v>
      </c>
      <c r="V252" s="2">
        <v>7</v>
      </c>
      <c r="W252" s="19">
        <f t="shared" si="8"/>
        <v>1227778</v>
      </c>
      <c r="X252" s="19">
        <f>'FPC wSEB'!X252-SEB!Q252</f>
        <v>1083862</v>
      </c>
      <c r="Y252" s="19">
        <f>'FPC wSEB'!Y252-SEB!R252</f>
        <v>123280</v>
      </c>
      <c r="Z252" s="19">
        <f>'FPC wSEB'!Z252-SEB!S252</f>
        <v>3107</v>
      </c>
      <c r="AA252" s="19">
        <f>'FPC wSEB'!AA252-SEB!T252</f>
        <v>2392</v>
      </c>
      <c r="AB252" s="19">
        <f>'FPC wSEB'!AB252-SEB!U252</f>
        <v>15121</v>
      </c>
      <c r="AC252" s="19">
        <f>'FPC wSEB'!AC252</f>
        <v>2</v>
      </c>
      <c r="AD252" s="19">
        <f>'FPC wSEB'!AD252</f>
        <v>14</v>
      </c>
      <c r="AE252" s="50">
        <f t="shared" si="6"/>
        <v>3.6892271823355971E-2</v>
      </c>
    </row>
    <row r="253" spans="1:31">
      <c r="A253" s="2">
        <v>1995</v>
      </c>
      <c r="B253" s="2">
        <v>8</v>
      </c>
      <c r="C253" s="19">
        <f t="shared" si="7"/>
        <v>3001724</v>
      </c>
      <c r="D253" s="19">
        <f>'FPC wSEB'!D253-SEB!D253</f>
        <v>1503316</v>
      </c>
      <c r="E253" s="19">
        <f>'FPC wSEB'!E253-SEB!E253</f>
        <v>806596</v>
      </c>
      <c r="F253" s="19">
        <f>'FPC wSEB'!F253-SEB!F253</f>
        <v>320662</v>
      </c>
      <c r="G253" s="19">
        <f>'FPC wSEB'!G253-SEB!G253</f>
        <v>105862</v>
      </c>
      <c r="H253" s="19">
        <f>'FPC wSEB'!H253-SEB!H253</f>
        <v>214800</v>
      </c>
      <c r="I253" s="19">
        <f>'FPC wSEB'!I253-SEB!I253</f>
        <v>2229</v>
      </c>
      <c r="J253" s="19">
        <f>'FPC wSEB'!J253-SEB!J253</f>
        <v>174395</v>
      </c>
      <c r="K253" s="19">
        <f>'FPC wSEB'!K253</f>
        <v>79411</v>
      </c>
      <c r="L253" s="19">
        <f>'FPC wSEB'!L253</f>
        <v>115115</v>
      </c>
      <c r="U253" s="2">
        <v>1995</v>
      </c>
      <c r="V253" s="2">
        <v>8</v>
      </c>
      <c r="W253" s="19">
        <f t="shared" si="8"/>
        <v>1230537</v>
      </c>
      <c r="X253" s="19">
        <f>'FPC wSEB'!X253-SEB!Q253</f>
        <v>1086040</v>
      </c>
      <c r="Y253" s="19">
        <f>'FPC wSEB'!Y253-SEB!R253</f>
        <v>124083</v>
      </c>
      <c r="Z253" s="19">
        <f>'FPC wSEB'!Z253-SEB!S253</f>
        <v>3092</v>
      </c>
      <c r="AA253" s="19">
        <f>'FPC wSEB'!AA253-SEB!T253</f>
        <v>2400</v>
      </c>
      <c r="AB253" s="19">
        <f>'FPC wSEB'!AB253-SEB!U253</f>
        <v>14906</v>
      </c>
      <c r="AC253" s="19">
        <f>'FPC wSEB'!AC253</f>
        <v>2</v>
      </c>
      <c r="AD253" s="19">
        <f>'FPC wSEB'!AD253</f>
        <v>14</v>
      </c>
      <c r="AE253" s="50">
        <f t="shared" si="6"/>
        <v>1.9841269841269771E-2</v>
      </c>
    </row>
    <row r="254" spans="1:31">
      <c r="A254" s="2">
        <v>1995</v>
      </c>
      <c r="B254" s="2">
        <v>9</v>
      </c>
      <c r="C254" s="19">
        <f t="shared" si="7"/>
        <v>3275168</v>
      </c>
      <c r="D254" s="19">
        <f>'FPC wSEB'!D254-SEB!D254</f>
        <v>1582368</v>
      </c>
      <c r="E254" s="19">
        <f>'FPC wSEB'!E254-SEB!E254</f>
        <v>873578</v>
      </c>
      <c r="F254" s="19">
        <f>'FPC wSEB'!F254-SEB!F254</f>
        <v>350293</v>
      </c>
      <c r="G254" s="19">
        <f>'FPC wSEB'!G254-SEB!G254</f>
        <v>110676</v>
      </c>
      <c r="H254" s="19">
        <f>'FPC wSEB'!H254-SEB!H254</f>
        <v>239617</v>
      </c>
      <c r="I254" s="19">
        <f>'FPC wSEB'!I254-SEB!I254</f>
        <v>2234</v>
      </c>
      <c r="J254" s="19">
        <f>'FPC wSEB'!J254-SEB!J254</f>
        <v>211683</v>
      </c>
      <c r="K254" s="19">
        <f>'FPC wSEB'!K254</f>
        <v>128779</v>
      </c>
      <c r="L254" s="19">
        <f>'FPC wSEB'!L254</f>
        <v>126233</v>
      </c>
      <c r="U254" s="2">
        <v>1995</v>
      </c>
      <c r="V254" s="2">
        <v>9</v>
      </c>
      <c r="W254" s="19">
        <f t="shared" si="8"/>
        <v>1271627</v>
      </c>
      <c r="X254" s="19">
        <f>'FPC wSEB'!X254-SEB!Q254</f>
        <v>1122401</v>
      </c>
      <c r="Y254" s="19">
        <f>'FPC wSEB'!Y254-SEB!R254</f>
        <v>128298</v>
      </c>
      <c r="Z254" s="19">
        <f>'FPC wSEB'!Z254-SEB!S254</f>
        <v>3109</v>
      </c>
      <c r="AA254" s="19">
        <f>'FPC wSEB'!AA254-SEB!T254</f>
        <v>2438</v>
      </c>
      <c r="AB254" s="19">
        <f>'FPC wSEB'!AB254-SEB!U254</f>
        <v>15365</v>
      </c>
      <c r="AC254" s="19">
        <f>'FPC wSEB'!AC254</f>
        <v>2</v>
      </c>
      <c r="AD254" s="19">
        <f>'FPC wSEB'!AD254</f>
        <v>14</v>
      </c>
      <c r="AE254" s="50">
        <f t="shared" ref="AE254:AE260" si="9">AB254/AB242-1</f>
        <v>4.5095905319004315E-2</v>
      </c>
    </row>
    <row r="255" spans="1:31">
      <c r="A255" s="2">
        <v>1995</v>
      </c>
      <c r="B255" s="2">
        <v>10</v>
      </c>
      <c r="C255" s="19">
        <f t="shared" si="7"/>
        <v>2933353</v>
      </c>
      <c r="D255" s="19">
        <f>'FPC wSEB'!D255-SEB!D255</f>
        <v>1380306</v>
      </c>
      <c r="E255" s="19">
        <f>'FPC wSEB'!E255-SEB!E255</f>
        <v>768947</v>
      </c>
      <c r="F255" s="19">
        <f>'FPC wSEB'!F255-SEB!F255</f>
        <v>333717</v>
      </c>
      <c r="G255" s="19">
        <f>'FPC wSEB'!G255-SEB!G255</f>
        <v>114586</v>
      </c>
      <c r="H255" s="19">
        <f>'FPC wSEB'!H255-SEB!H255</f>
        <v>219131</v>
      </c>
      <c r="I255" s="19">
        <f>'FPC wSEB'!I255-SEB!I255</f>
        <v>2316</v>
      </c>
      <c r="J255" s="19">
        <f>'FPC wSEB'!J255-SEB!J255</f>
        <v>189763</v>
      </c>
      <c r="K255" s="19">
        <f>'FPC wSEB'!K255</f>
        <v>124564</v>
      </c>
      <c r="L255" s="19">
        <f>'FPC wSEB'!L255</f>
        <v>133740</v>
      </c>
      <c r="U255" s="2">
        <v>1995</v>
      </c>
      <c r="V255" s="2">
        <v>10</v>
      </c>
      <c r="W255" s="19">
        <f t="shared" si="8"/>
        <v>1252646</v>
      </c>
      <c r="X255" s="19">
        <f>'FPC wSEB'!X255-SEB!Q255</f>
        <v>1105956</v>
      </c>
      <c r="Y255" s="19">
        <f>'FPC wSEB'!Y255-SEB!R255</f>
        <v>125887</v>
      </c>
      <c r="Z255" s="19">
        <f>'FPC wSEB'!Z255-SEB!S255</f>
        <v>3073</v>
      </c>
      <c r="AA255" s="19">
        <f>'FPC wSEB'!AA255-SEB!T255</f>
        <v>2450</v>
      </c>
      <c r="AB255" s="19">
        <f>'FPC wSEB'!AB255-SEB!U255</f>
        <v>15260</v>
      </c>
      <c r="AC255" s="19">
        <f>'FPC wSEB'!AC255</f>
        <v>2</v>
      </c>
      <c r="AD255" s="19">
        <f>'FPC wSEB'!AD255</f>
        <v>18</v>
      </c>
      <c r="AE255" s="50">
        <f t="shared" si="9"/>
        <v>3.4085518736870712E-2</v>
      </c>
    </row>
    <row r="256" spans="1:31">
      <c r="A256" s="2">
        <v>1995</v>
      </c>
      <c r="B256" s="2">
        <v>11</v>
      </c>
      <c r="C256" s="19">
        <f t="shared" si="7"/>
        <v>2499012</v>
      </c>
      <c r="D256" s="19">
        <f>'FPC wSEB'!D256-SEB!D256</f>
        <v>1055017</v>
      </c>
      <c r="E256" s="19">
        <f>'FPC wSEB'!E256-SEB!E256</f>
        <v>735081</v>
      </c>
      <c r="F256" s="19">
        <f>'FPC wSEB'!F256-SEB!F256</f>
        <v>330082</v>
      </c>
      <c r="G256" s="19">
        <f>'FPC wSEB'!G256-SEB!G256</f>
        <v>114427</v>
      </c>
      <c r="H256" s="19">
        <f>'FPC wSEB'!H256-SEB!H256</f>
        <v>215655</v>
      </c>
      <c r="I256" s="19">
        <f>'FPC wSEB'!I256-SEB!I256</f>
        <v>2340</v>
      </c>
      <c r="J256" s="19">
        <f>'FPC wSEB'!J256-SEB!J256</f>
        <v>181431</v>
      </c>
      <c r="K256" s="19">
        <f>'FPC wSEB'!K256</f>
        <v>91152</v>
      </c>
      <c r="L256" s="19">
        <f>'FPC wSEB'!L256</f>
        <v>103909</v>
      </c>
      <c r="U256" s="2">
        <v>1995</v>
      </c>
      <c r="V256" s="2">
        <v>11</v>
      </c>
      <c r="W256" s="19">
        <f t="shared" si="8"/>
        <v>1299320</v>
      </c>
      <c r="X256" s="19">
        <f>'FPC wSEB'!X256-SEB!Q256</f>
        <v>1148951</v>
      </c>
      <c r="Y256" s="19">
        <f>'FPC wSEB'!Y256-SEB!R256</f>
        <v>129361</v>
      </c>
      <c r="Z256" s="19">
        <f>'FPC wSEB'!Z256-SEB!S256</f>
        <v>3103</v>
      </c>
      <c r="AA256" s="19">
        <f>'FPC wSEB'!AA256-SEB!T256</f>
        <v>2411</v>
      </c>
      <c r="AB256" s="19">
        <f>'FPC wSEB'!AB256-SEB!U256</f>
        <v>15476</v>
      </c>
      <c r="AC256" s="19">
        <f>'FPC wSEB'!AC256</f>
        <v>3</v>
      </c>
      <c r="AD256" s="19">
        <f>'FPC wSEB'!AD256</f>
        <v>15</v>
      </c>
      <c r="AE256" s="50">
        <f t="shared" si="9"/>
        <v>4.5393136990002692E-2</v>
      </c>
    </row>
    <row r="257" spans="1:31">
      <c r="A257" s="26">
        <v>1995</v>
      </c>
      <c r="B257" s="26">
        <v>12</v>
      </c>
      <c r="C257" s="19">
        <f t="shared" si="7"/>
        <v>2248079</v>
      </c>
      <c r="D257" s="19">
        <f>'FPC wSEB'!D257-SEB!D257</f>
        <v>997487</v>
      </c>
      <c r="E257" s="19">
        <f>'FPC wSEB'!E257-SEB!E257</f>
        <v>621532</v>
      </c>
      <c r="F257" s="19">
        <f>'FPC wSEB'!F257-SEB!F257</f>
        <v>348483</v>
      </c>
      <c r="G257" s="19">
        <f>'FPC wSEB'!G257-SEB!G257</f>
        <v>128538</v>
      </c>
      <c r="H257" s="19">
        <f>'FPC wSEB'!H257-SEB!H257</f>
        <v>219945</v>
      </c>
      <c r="I257" s="19">
        <f>'FPC wSEB'!I257-SEB!I257</f>
        <v>2216</v>
      </c>
      <c r="J257" s="19">
        <f>'FPC wSEB'!J257-SEB!J257</f>
        <v>153273</v>
      </c>
      <c r="K257" s="19">
        <f>'FPC wSEB'!K257</f>
        <v>36665</v>
      </c>
      <c r="L257" s="19">
        <f>'FPC wSEB'!L257</f>
        <v>88423</v>
      </c>
      <c r="U257" s="26">
        <v>1995</v>
      </c>
      <c r="V257" s="26">
        <v>12</v>
      </c>
      <c r="W257" s="19">
        <f t="shared" si="8"/>
        <v>1260969</v>
      </c>
      <c r="X257" s="19">
        <f>'FPC wSEB'!X257-SEB!Q257</f>
        <v>1115850</v>
      </c>
      <c r="Y257" s="19">
        <f>'FPC wSEB'!Y257-SEB!R257</f>
        <v>124624</v>
      </c>
      <c r="Z257" s="19">
        <f>'FPC wSEB'!Z257-SEB!S257</f>
        <v>3012</v>
      </c>
      <c r="AA257" s="19">
        <f>'FPC wSEB'!AA257-SEB!T257</f>
        <v>2363</v>
      </c>
      <c r="AB257" s="19">
        <f>'FPC wSEB'!AB257-SEB!U257</f>
        <v>15103</v>
      </c>
      <c r="AC257" s="19">
        <f>'FPC wSEB'!AC257</f>
        <v>2</v>
      </c>
      <c r="AD257" s="19">
        <f>'FPC wSEB'!AD257</f>
        <v>15</v>
      </c>
      <c r="AE257" s="50">
        <f t="shared" si="9"/>
        <v>1.6694715583978503E-2</v>
      </c>
    </row>
    <row r="258" spans="1:31">
      <c r="A258" s="2">
        <v>1996</v>
      </c>
      <c r="B258" s="2">
        <v>1</v>
      </c>
      <c r="C258" s="19">
        <f t="shared" ref="C258:C284" si="10">SUM(D258:F258,I258:L258)</f>
        <v>2602873</v>
      </c>
      <c r="D258" s="19">
        <f>'FPC wSEB'!D258-SEB!D258</f>
        <v>1420975</v>
      </c>
      <c r="E258" s="19">
        <f>'FPC wSEB'!E258-SEB!E258</f>
        <v>605231</v>
      </c>
      <c r="F258" s="19">
        <f>'FPC wSEB'!F258-SEB!F258</f>
        <v>319114</v>
      </c>
      <c r="G258" s="19">
        <f>'FPC wSEB'!G258-SEB!G258</f>
        <v>119617</v>
      </c>
      <c r="H258" s="19">
        <f>'FPC wSEB'!H258-SEB!H258</f>
        <v>199497</v>
      </c>
      <c r="I258" s="19">
        <f>'FPC wSEB'!I258-SEB!I258</f>
        <v>2238</v>
      </c>
      <c r="J258" s="19">
        <f>'FPC wSEB'!J258-SEB!J258</f>
        <v>146860</v>
      </c>
      <c r="K258" s="19">
        <f>'FPC wSEB'!K258</f>
        <v>18831</v>
      </c>
      <c r="L258" s="19">
        <f>'FPC wSEB'!L258</f>
        <v>89624</v>
      </c>
      <c r="U258" s="2">
        <v>1996</v>
      </c>
      <c r="V258" s="2">
        <v>1</v>
      </c>
      <c r="W258" s="19">
        <f t="shared" ref="W258:W277" si="11">SUM(X258:AD258)</f>
        <v>1270916</v>
      </c>
      <c r="X258" s="19">
        <f>'FPC wSEB'!X258-SEB!Q258</f>
        <v>1124389</v>
      </c>
      <c r="Y258" s="19">
        <f>'FPC wSEB'!Y258-SEB!R258</f>
        <v>125968</v>
      </c>
      <c r="Z258" s="19">
        <f>'FPC wSEB'!Z258-SEB!S258</f>
        <v>3026</v>
      </c>
      <c r="AA258" s="19">
        <f>'FPC wSEB'!AA258-SEB!T258</f>
        <v>2353</v>
      </c>
      <c r="AB258" s="19">
        <f>'FPC wSEB'!AB258-SEB!U258</f>
        <v>15164</v>
      </c>
      <c r="AC258" s="19">
        <f>'FPC wSEB'!AC258</f>
        <v>2</v>
      </c>
      <c r="AD258" s="19">
        <f>'FPC wSEB'!AD258</f>
        <v>14</v>
      </c>
      <c r="AE258" s="50">
        <f t="shared" si="9"/>
        <v>1.6626441405202419E-2</v>
      </c>
    </row>
    <row r="259" spans="1:31">
      <c r="A259" s="2">
        <v>1996</v>
      </c>
      <c r="B259" s="2">
        <v>2</v>
      </c>
      <c r="C259" s="19">
        <f t="shared" si="10"/>
        <v>2626088</v>
      </c>
      <c r="D259" s="19">
        <f>'FPC wSEB'!D259-SEB!D259</f>
        <v>1295908</v>
      </c>
      <c r="E259" s="19">
        <f>'FPC wSEB'!E259-SEB!E259</f>
        <v>655179</v>
      </c>
      <c r="F259" s="19">
        <f>'FPC wSEB'!F259-SEB!F259</f>
        <v>334088</v>
      </c>
      <c r="G259" s="19">
        <f>'FPC wSEB'!G259-SEB!G259</f>
        <v>114494</v>
      </c>
      <c r="H259" s="19">
        <f>'FPC wSEB'!H259-SEB!H259</f>
        <v>219594</v>
      </c>
      <c r="I259" s="19">
        <f>'FPC wSEB'!I259-SEB!I259</f>
        <v>2243</v>
      </c>
      <c r="J259" s="19">
        <f>'FPC wSEB'!J259-SEB!J259</f>
        <v>163244</v>
      </c>
      <c r="K259" s="19">
        <f>'FPC wSEB'!K259</f>
        <v>85101</v>
      </c>
      <c r="L259" s="19">
        <f>'FPC wSEB'!L259</f>
        <v>90325</v>
      </c>
      <c r="U259" s="2">
        <v>1996</v>
      </c>
      <c r="V259" s="2">
        <v>2</v>
      </c>
      <c r="W259" s="19">
        <f t="shared" si="11"/>
        <v>1293278</v>
      </c>
      <c r="X259" s="19">
        <f>'FPC wSEB'!X259-SEB!Q259</f>
        <v>1145455</v>
      </c>
      <c r="Y259" s="19">
        <f>'FPC wSEB'!Y259-SEB!R259</f>
        <v>127156</v>
      </c>
      <c r="Z259" s="19">
        <f>'FPC wSEB'!Z259-SEB!S259</f>
        <v>2996</v>
      </c>
      <c r="AA259" s="19">
        <f>'FPC wSEB'!AA259-SEB!T259</f>
        <v>2330</v>
      </c>
      <c r="AB259" s="19">
        <f>'FPC wSEB'!AB259-SEB!U259</f>
        <v>15325</v>
      </c>
      <c r="AC259" s="19">
        <f>'FPC wSEB'!AC259</f>
        <v>2</v>
      </c>
      <c r="AD259" s="19">
        <f>'FPC wSEB'!AD259</f>
        <v>14</v>
      </c>
      <c r="AE259" s="50">
        <f t="shared" si="9"/>
        <v>2.4193009423244094E-2</v>
      </c>
    </row>
    <row r="260" spans="1:31">
      <c r="A260" s="2">
        <v>1996</v>
      </c>
      <c r="B260" s="2">
        <v>3</v>
      </c>
      <c r="C260" s="19">
        <f t="shared" si="10"/>
        <v>2477534</v>
      </c>
      <c r="D260" s="19">
        <f>'FPC wSEB'!D260-SEB!D260</f>
        <v>1171985</v>
      </c>
      <c r="E260" s="19">
        <f>'FPC wSEB'!E260-SEB!E260</f>
        <v>611176</v>
      </c>
      <c r="F260" s="19">
        <f>'FPC wSEB'!F260-SEB!F260</f>
        <v>347662</v>
      </c>
      <c r="G260" s="19">
        <f>'FPC wSEB'!G260-SEB!G260</f>
        <v>138432</v>
      </c>
      <c r="H260" s="19">
        <f>'FPC wSEB'!H260-SEB!H260</f>
        <v>209230</v>
      </c>
      <c r="I260" s="19">
        <f>'FPC wSEB'!I260-SEB!I260</f>
        <v>2193</v>
      </c>
      <c r="J260" s="19">
        <f>'FPC wSEB'!J260-SEB!J260</f>
        <v>160657</v>
      </c>
      <c r="K260" s="19">
        <f>'FPC wSEB'!K260</f>
        <v>81789</v>
      </c>
      <c r="L260" s="19">
        <f>'FPC wSEB'!L260</f>
        <v>102072</v>
      </c>
      <c r="U260" s="2">
        <v>1996</v>
      </c>
      <c r="V260" s="2">
        <v>3</v>
      </c>
      <c r="W260" s="19">
        <f t="shared" si="11"/>
        <v>1288539</v>
      </c>
      <c r="X260" s="19">
        <f>'FPC wSEB'!X260-SEB!Q260</f>
        <v>1140778</v>
      </c>
      <c r="Y260" s="19">
        <f>'FPC wSEB'!Y260-SEB!R260</f>
        <v>127077</v>
      </c>
      <c r="Z260" s="19">
        <f>'FPC wSEB'!Z260-SEB!S260</f>
        <v>2959</v>
      </c>
      <c r="AA260" s="19">
        <f>'FPC wSEB'!AA260-SEB!T260</f>
        <v>2352</v>
      </c>
      <c r="AB260" s="19">
        <f>'FPC wSEB'!AB260-SEB!U260</f>
        <v>15357</v>
      </c>
      <c r="AC260" s="19">
        <f>'FPC wSEB'!AC260</f>
        <v>2</v>
      </c>
      <c r="AD260" s="19">
        <f>'FPC wSEB'!AD260</f>
        <v>14</v>
      </c>
      <c r="AE260" s="50">
        <f t="shared" si="9"/>
        <v>4.568977257251805E-2</v>
      </c>
    </row>
    <row r="261" spans="1:31">
      <c r="A261" s="2">
        <v>1996</v>
      </c>
      <c r="B261" s="2">
        <v>4</v>
      </c>
      <c r="C261" s="19">
        <f t="shared" si="10"/>
        <v>2384554</v>
      </c>
      <c r="D261" s="19">
        <f>'FPC wSEB'!D261-SEB!D261</f>
        <v>1038210</v>
      </c>
      <c r="E261" s="19">
        <f>'FPC wSEB'!E261-SEB!E261</f>
        <v>649400</v>
      </c>
      <c r="F261" s="19">
        <f>'FPC wSEB'!F261-SEB!F261</f>
        <v>349343</v>
      </c>
      <c r="G261" s="19">
        <f>'FPC wSEB'!G261-SEB!G261</f>
        <v>138929</v>
      </c>
      <c r="H261" s="19">
        <f>'FPC wSEB'!H261-SEB!H261</f>
        <v>210414</v>
      </c>
      <c r="I261" s="19">
        <f>'FPC wSEB'!I261-SEB!I261</f>
        <v>2204</v>
      </c>
      <c r="J261" s="19">
        <f>'FPC wSEB'!J261-SEB!J261</f>
        <v>166804</v>
      </c>
      <c r="K261" s="19">
        <f>'FPC wSEB'!K261</f>
        <v>73834</v>
      </c>
      <c r="L261" s="19">
        <f>'FPC wSEB'!L261</f>
        <v>104759</v>
      </c>
      <c r="U261" s="2">
        <v>1996</v>
      </c>
      <c r="V261" s="2">
        <v>4</v>
      </c>
      <c r="W261" s="19">
        <f t="shared" si="11"/>
        <v>1280285</v>
      </c>
      <c r="X261" s="19">
        <f>'FPC wSEB'!X261-SEB!Q261</f>
        <v>1132424</v>
      </c>
      <c r="Y261" s="19">
        <f>'FPC wSEB'!Y261-SEB!R261</f>
        <v>127100</v>
      </c>
      <c r="Z261" s="19">
        <f>'FPC wSEB'!Z261-SEB!S261</f>
        <v>3001</v>
      </c>
      <c r="AA261" s="19">
        <f>'FPC wSEB'!AA261-SEB!T261</f>
        <v>2323</v>
      </c>
      <c r="AB261" s="19">
        <f>'FPC wSEB'!AB261-SEB!U261</f>
        <v>15421</v>
      </c>
      <c r="AC261" s="19">
        <f>'FPC wSEB'!AC261</f>
        <v>2</v>
      </c>
      <c r="AD261" s="19">
        <f>'FPC wSEB'!AD261</f>
        <v>14</v>
      </c>
    </row>
    <row r="262" spans="1:31">
      <c r="A262" s="2">
        <v>1996</v>
      </c>
      <c r="B262" s="2">
        <v>5</v>
      </c>
      <c r="C262" s="19">
        <f t="shared" si="10"/>
        <v>2417866</v>
      </c>
      <c r="D262" s="19">
        <f>'FPC wSEB'!D262-SEB!D262</f>
        <v>1033998</v>
      </c>
      <c r="E262" s="19">
        <f>'FPC wSEB'!E262-SEB!E262</f>
        <v>689754</v>
      </c>
      <c r="F262" s="19">
        <f>'FPC wSEB'!F262-SEB!F262</f>
        <v>368380</v>
      </c>
      <c r="G262" s="19">
        <f>'FPC wSEB'!G262-SEB!G262</f>
        <v>116247</v>
      </c>
      <c r="H262" s="19">
        <f>'FPC wSEB'!H262-SEB!H262</f>
        <v>252133</v>
      </c>
      <c r="I262" s="19">
        <f>'FPC wSEB'!I262-SEB!I262</f>
        <v>2231</v>
      </c>
      <c r="J262" s="19">
        <f>'FPC wSEB'!J262-SEB!J262</f>
        <v>178791</v>
      </c>
      <c r="K262" s="19">
        <f>'FPC wSEB'!K262</f>
        <v>46606</v>
      </c>
      <c r="L262" s="19">
        <f>'FPC wSEB'!L262</f>
        <v>98106</v>
      </c>
      <c r="U262" s="2">
        <v>1996</v>
      </c>
      <c r="V262" s="2">
        <v>5</v>
      </c>
      <c r="W262" s="19">
        <f t="shared" si="11"/>
        <v>1246402</v>
      </c>
      <c r="X262" s="19">
        <f>'FPC wSEB'!X262-SEB!Q262</f>
        <v>1101645</v>
      </c>
      <c r="Y262" s="19">
        <f>'FPC wSEB'!Y262-SEB!R262</f>
        <v>124521</v>
      </c>
      <c r="Z262" s="19">
        <f>'FPC wSEB'!Z262-SEB!S262</f>
        <v>2879</v>
      </c>
      <c r="AA262" s="19">
        <f>'FPC wSEB'!AA262-SEB!T262</f>
        <v>2302</v>
      </c>
      <c r="AB262" s="19">
        <f>'FPC wSEB'!AB262-SEB!U262</f>
        <v>15039</v>
      </c>
      <c r="AC262" s="19">
        <f>'FPC wSEB'!AC262</f>
        <v>2</v>
      </c>
      <c r="AD262" s="19">
        <f>'FPC wSEB'!AD262</f>
        <v>14</v>
      </c>
    </row>
    <row r="263" spans="1:31">
      <c r="A263" s="2">
        <v>1996</v>
      </c>
      <c r="B263" s="2">
        <v>6</v>
      </c>
      <c r="C263" s="19">
        <f t="shared" si="10"/>
        <v>2996635</v>
      </c>
      <c r="D263" s="19">
        <f>'FPC wSEB'!D263-SEB!D263</f>
        <v>1443784</v>
      </c>
      <c r="E263" s="19">
        <f>'FPC wSEB'!E263-SEB!E263</f>
        <v>856030</v>
      </c>
      <c r="F263" s="19">
        <f>'FPC wSEB'!F263-SEB!F263</f>
        <v>382108</v>
      </c>
      <c r="G263" s="19">
        <f>'FPC wSEB'!G263-SEB!G263</f>
        <v>120133</v>
      </c>
      <c r="H263" s="19">
        <f>'FPC wSEB'!H263-SEB!H263</f>
        <v>261975</v>
      </c>
      <c r="I263" s="19">
        <f>'FPC wSEB'!I263-SEB!I263</f>
        <v>2266</v>
      </c>
      <c r="J263" s="19">
        <f>'FPC wSEB'!J263-SEB!J263</f>
        <v>201936</v>
      </c>
      <c r="K263" s="19">
        <f>'FPC wSEB'!K263</f>
        <v>5474</v>
      </c>
      <c r="L263" s="19">
        <f>'FPC wSEB'!L263</f>
        <v>105037</v>
      </c>
      <c r="U263" s="2">
        <v>1996</v>
      </c>
      <c r="V263" s="2">
        <v>6</v>
      </c>
      <c r="W263" s="19">
        <f t="shared" si="11"/>
        <v>1296407</v>
      </c>
      <c r="X263" s="19">
        <f>'FPC wSEB'!X263-SEB!Q263</f>
        <v>1144515</v>
      </c>
      <c r="Y263" s="19">
        <f>'FPC wSEB'!Y263-SEB!R263</f>
        <v>130836</v>
      </c>
      <c r="Z263" s="19">
        <f>'FPC wSEB'!Z263-SEB!S263</f>
        <v>2993</v>
      </c>
      <c r="AA263" s="19">
        <f>'FPC wSEB'!AA263-SEB!T263</f>
        <v>2294</v>
      </c>
      <c r="AB263" s="19">
        <f>'FPC wSEB'!AB263-SEB!U263</f>
        <v>15753</v>
      </c>
      <c r="AC263" s="19">
        <f>'FPC wSEB'!AC263</f>
        <v>2</v>
      </c>
      <c r="AD263" s="19">
        <f>'FPC wSEB'!AD263</f>
        <v>14</v>
      </c>
    </row>
    <row r="264" spans="1:31">
      <c r="A264" s="2">
        <v>1996</v>
      </c>
      <c r="B264" s="2">
        <v>7</v>
      </c>
      <c r="C264" s="19">
        <f t="shared" si="10"/>
        <v>2994626</v>
      </c>
      <c r="D264" s="19">
        <f>'FPC wSEB'!D264-SEB!D264</f>
        <v>1447035</v>
      </c>
      <c r="E264" s="19">
        <f>'FPC wSEB'!E264-SEB!E264</f>
        <v>818262</v>
      </c>
      <c r="F264" s="19">
        <f>'FPC wSEB'!F264-SEB!F264</f>
        <v>355078</v>
      </c>
      <c r="G264" s="19">
        <f>'FPC wSEB'!G264-SEB!G264</f>
        <v>131126</v>
      </c>
      <c r="H264" s="19">
        <f>'FPC wSEB'!H264-SEB!H264</f>
        <v>223952</v>
      </c>
      <c r="I264" s="19">
        <f>'FPC wSEB'!I264-SEB!I264</f>
        <v>2218</v>
      </c>
      <c r="J264" s="19">
        <f>'FPC wSEB'!J264-SEB!J264</f>
        <v>186561</v>
      </c>
      <c r="K264" s="19">
        <f>'FPC wSEB'!K264</f>
        <v>74301</v>
      </c>
      <c r="L264" s="19">
        <f>'FPC wSEB'!L264</f>
        <v>111171</v>
      </c>
      <c r="U264" s="2">
        <v>1996</v>
      </c>
      <c r="V264" s="2">
        <v>7</v>
      </c>
      <c r="W264" s="19">
        <f t="shared" si="11"/>
        <v>1234987</v>
      </c>
      <c r="X264" s="19">
        <f>'FPC wSEB'!X264-SEB!Q264</f>
        <v>1090044</v>
      </c>
      <c r="Y264" s="19">
        <f>'FPC wSEB'!Y264-SEB!R264</f>
        <v>124761</v>
      </c>
      <c r="Z264" s="19">
        <f>'FPC wSEB'!Z264-SEB!S264</f>
        <v>2819</v>
      </c>
      <c r="AA264" s="19">
        <f>'FPC wSEB'!AA264-SEB!T264</f>
        <v>2294</v>
      </c>
      <c r="AB264" s="19">
        <f>'FPC wSEB'!AB264-SEB!U264</f>
        <v>15053</v>
      </c>
      <c r="AC264" s="19">
        <f>'FPC wSEB'!AC264</f>
        <v>2</v>
      </c>
      <c r="AD264" s="19">
        <f>'FPC wSEB'!AD264</f>
        <v>14</v>
      </c>
    </row>
    <row r="265" spans="1:31">
      <c r="A265" s="2">
        <v>1996</v>
      </c>
      <c r="B265" s="2">
        <v>8</v>
      </c>
      <c r="C265" s="19">
        <f t="shared" si="10"/>
        <v>3332860</v>
      </c>
      <c r="D265" s="19">
        <f>'FPC wSEB'!D265-SEB!D265</f>
        <v>1677038</v>
      </c>
      <c r="E265" s="19">
        <f>'FPC wSEB'!E265-SEB!E265</f>
        <v>879881</v>
      </c>
      <c r="F265" s="19">
        <f>'FPC wSEB'!F265-SEB!F265</f>
        <v>361779</v>
      </c>
      <c r="G265" s="19">
        <f>'FPC wSEB'!G265-SEB!G265</f>
        <v>124075</v>
      </c>
      <c r="H265" s="19">
        <f>'FPC wSEB'!H265-SEB!H265</f>
        <v>237704</v>
      </c>
      <c r="I265" s="19">
        <f>'FPC wSEB'!I265-SEB!I265</f>
        <v>2198</v>
      </c>
      <c r="J265" s="19">
        <f>'FPC wSEB'!J265-SEB!J265</f>
        <v>201656</v>
      </c>
      <c r="K265" s="19">
        <f>'FPC wSEB'!K265</f>
        <v>88177</v>
      </c>
      <c r="L265" s="19">
        <f>'FPC wSEB'!L265</f>
        <v>122131</v>
      </c>
      <c r="U265" s="2">
        <v>1996</v>
      </c>
      <c r="V265" s="2">
        <v>8</v>
      </c>
      <c r="W265" s="19">
        <f t="shared" si="11"/>
        <v>1292935</v>
      </c>
      <c r="X265" s="19">
        <f>'FPC wSEB'!X265-SEB!Q265</f>
        <v>1141138</v>
      </c>
      <c r="Y265" s="19">
        <f>'FPC wSEB'!Y265-SEB!R265</f>
        <v>130695</v>
      </c>
      <c r="Z265" s="19">
        <f>'FPC wSEB'!Z265-SEB!S265</f>
        <v>2953</v>
      </c>
      <c r="AA265" s="19">
        <f>'FPC wSEB'!AA265-SEB!T265</f>
        <v>2293</v>
      </c>
      <c r="AB265" s="19">
        <f>'FPC wSEB'!AB265-SEB!U265</f>
        <v>15840</v>
      </c>
      <c r="AC265" s="19">
        <f>'FPC wSEB'!AC265</f>
        <v>2</v>
      </c>
      <c r="AD265" s="19">
        <f>'FPC wSEB'!AD265</f>
        <v>14</v>
      </c>
    </row>
    <row r="266" spans="1:31">
      <c r="A266" s="2">
        <v>1996</v>
      </c>
      <c r="B266" s="2">
        <v>9</v>
      </c>
      <c r="C266" s="19">
        <f t="shared" si="10"/>
        <v>3225149</v>
      </c>
      <c r="D266" s="19">
        <f>'FPC wSEB'!D266-SEB!D266</f>
        <v>1528785</v>
      </c>
      <c r="E266" s="19">
        <f>'FPC wSEB'!E266-SEB!E266</f>
        <v>836992</v>
      </c>
      <c r="F266" s="19">
        <f>'FPC wSEB'!F266-SEB!F266</f>
        <v>377666</v>
      </c>
      <c r="G266" s="19">
        <f>'FPC wSEB'!G266-SEB!G266</f>
        <v>146668</v>
      </c>
      <c r="H266" s="19">
        <f>'FPC wSEB'!H266-SEB!H266</f>
        <v>230998</v>
      </c>
      <c r="I266" s="19">
        <f>'FPC wSEB'!I266-SEB!I266</f>
        <v>2155</v>
      </c>
      <c r="J266" s="19">
        <f>'FPC wSEB'!J266-SEB!J266</f>
        <v>203561</v>
      </c>
      <c r="K266" s="19">
        <f>'FPC wSEB'!K266</f>
        <v>134472</v>
      </c>
      <c r="L266" s="19">
        <f>'FPC wSEB'!L266</f>
        <v>141518</v>
      </c>
      <c r="U266" s="2">
        <v>1996</v>
      </c>
      <c r="V266" s="2">
        <v>9</v>
      </c>
      <c r="W266" s="19">
        <f t="shared" si="11"/>
        <v>1274275</v>
      </c>
      <c r="X266" s="19">
        <f>'FPC wSEB'!X266-SEB!Q266</f>
        <v>1124510</v>
      </c>
      <c r="Y266" s="19">
        <f>'FPC wSEB'!Y266-SEB!R266</f>
        <v>128879</v>
      </c>
      <c r="Z266" s="19">
        <f>'FPC wSEB'!Z266-SEB!S266</f>
        <v>2880</v>
      </c>
      <c r="AA266" s="19">
        <f>'FPC wSEB'!AA266-SEB!T266</f>
        <v>2285</v>
      </c>
      <c r="AB266" s="19">
        <f>'FPC wSEB'!AB266-SEB!U266</f>
        <v>15704</v>
      </c>
      <c r="AC266" s="19">
        <f>'FPC wSEB'!AC266</f>
        <v>2</v>
      </c>
      <c r="AD266" s="19">
        <f>'FPC wSEB'!AD266</f>
        <v>15</v>
      </c>
    </row>
    <row r="267" spans="1:31">
      <c r="A267" s="2">
        <v>1996</v>
      </c>
      <c r="B267" s="2">
        <v>10</v>
      </c>
      <c r="C267" s="19">
        <f t="shared" si="10"/>
        <v>2795429</v>
      </c>
      <c r="D267" s="19">
        <f>'FPC wSEB'!D267-SEB!D267</f>
        <v>1228010</v>
      </c>
      <c r="E267" s="19">
        <f>'FPC wSEB'!E267-SEB!E267</f>
        <v>752771</v>
      </c>
      <c r="F267" s="19">
        <f>'FPC wSEB'!F267-SEB!F267</f>
        <v>341405</v>
      </c>
      <c r="G267" s="19">
        <f>'FPC wSEB'!G267-SEB!G267</f>
        <v>122436</v>
      </c>
      <c r="H267" s="19">
        <f>'FPC wSEB'!H267-SEB!H267</f>
        <v>218969</v>
      </c>
      <c r="I267" s="19">
        <f>'FPC wSEB'!I267-SEB!I267</f>
        <v>2222</v>
      </c>
      <c r="J267" s="19">
        <f>'FPC wSEB'!J267-SEB!J267</f>
        <v>208298</v>
      </c>
      <c r="K267" s="19">
        <f>'FPC wSEB'!K267</f>
        <v>104884</v>
      </c>
      <c r="L267" s="19">
        <f>'FPC wSEB'!L267</f>
        <v>157839</v>
      </c>
      <c r="U267" s="2">
        <v>1996</v>
      </c>
      <c r="V267" s="2">
        <v>10</v>
      </c>
      <c r="W267" s="19">
        <f t="shared" si="11"/>
        <v>1260757</v>
      </c>
      <c r="X267" s="19">
        <f>'FPC wSEB'!X267-SEB!Q267</f>
        <v>1112960</v>
      </c>
      <c r="Y267" s="19">
        <f>'FPC wSEB'!Y267-SEB!R267</f>
        <v>127174</v>
      </c>
      <c r="Z267" s="19">
        <f>'FPC wSEB'!Z267-SEB!S267</f>
        <v>2812</v>
      </c>
      <c r="AA267" s="19">
        <f>'FPC wSEB'!AA267-SEB!T267</f>
        <v>2261</v>
      </c>
      <c r="AB267" s="19">
        <f>'FPC wSEB'!AB267-SEB!U267</f>
        <v>15531</v>
      </c>
      <c r="AC267" s="19">
        <f>'FPC wSEB'!AC267</f>
        <v>2</v>
      </c>
      <c r="AD267" s="19">
        <f>'FPC wSEB'!AD267</f>
        <v>17</v>
      </c>
    </row>
    <row r="268" spans="1:31">
      <c r="A268" s="2">
        <v>1996</v>
      </c>
      <c r="B268" s="2">
        <v>11</v>
      </c>
      <c r="C268" s="19">
        <f t="shared" si="10"/>
        <v>2527528</v>
      </c>
      <c r="D268" s="19">
        <f>'FPC wSEB'!D268-SEB!D268</f>
        <v>1047075</v>
      </c>
      <c r="E268" s="19">
        <f>'FPC wSEB'!E268-SEB!E268</f>
        <v>748960</v>
      </c>
      <c r="F268" s="19">
        <f>'FPC wSEB'!F268-SEB!F268</f>
        <v>377610</v>
      </c>
      <c r="G268" s="19">
        <f>'FPC wSEB'!G268-SEB!G268</f>
        <v>151431</v>
      </c>
      <c r="H268" s="19">
        <f>'FPC wSEB'!H268-SEB!H268</f>
        <v>226179</v>
      </c>
      <c r="I268" s="19">
        <f>'FPC wSEB'!I268-SEB!I268</f>
        <v>2149</v>
      </c>
      <c r="J268" s="19">
        <f>'FPC wSEB'!J268-SEB!J268</f>
        <v>192687</v>
      </c>
      <c r="K268" s="19">
        <f>'FPC wSEB'!K268</f>
        <v>87177</v>
      </c>
      <c r="L268" s="19">
        <f>'FPC wSEB'!L268</f>
        <v>71870</v>
      </c>
      <c r="U268" s="2">
        <v>1996</v>
      </c>
      <c r="V268" s="2">
        <v>11</v>
      </c>
      <c r="W268" s="19">
        <f t="shared" si="11"/>
        <v>1315927</v>
      </c>
      <c r="X268" s="19">
        <f>'FPC wSEB'!X268-SEB!Q268</f>
        <v>1161813</v>
      </c>
      <c r="Y268" s="19">
        <f>'FPC wSEB'!Y268-SEB!R268</f>
        <v>132821</v>
      </c>
      <c r="Z268" s="19">
        <f>'FPC wSEB'!Z268-SEB!S268</f>
        <v>2956</v>
      </c>
      <c r="AA268" s="19">
        <f>'FPC wSEB'!AA268-SEB!T268</f>
        <v>2254</v>
      </c>
      <c r="AB268" s="19">
        <f>'FPC wSEB'!AB268-SEB!U268</f>
        <v>16067</v>
      </c>
      <c r="AC268" s="19">
        <f>'FPC wSEB'!AC268</f>
        <v>2</v>
      </c>
      <c r="AD268" s="19">
        <f>'FPC wSEB'!AD268</f>
        <v>14</v>
      </c>
    </row>
    <row r="269" spans="1:31">
      <c r="A269" s="2">
        <v>1996</v>
      </c>
      <c r="B269" s="2">
        <v>12</v>
      </c>
      <c r="C269" s="19">
        <f t="shared" si="10"/>
        <v>2289700</v>
      </c>
      <c r="D269" s="19">
        <f>'FPC wSEB'!D269-SEB!D269</f>
        <v>1040622</v>
      </c>
      <c r="E269" s="19">
        <f>'FPC wSEB'!E269-SEB!E269</f>
        <v>665539</v>
      </c>
      <c r="F269" s="19">
        <f>'FPC wSEB'!F269-SEB!F269</f>
        <v>309447</v>
      </c>
      <c r="G269" s="19">
        <f>'FPC wSEB'!G269-SEB!G269</f>
        <v>87900</v>
      </c>
      <c r="H269" s="19">
        <f>'FPC wSEB'!H269-SEB!H269</f>
        <v>221547</v>
      </c>
      <c r="I269" s="19">
        <f>'FPC wSEB'!I269-SEB!I269</f>
        <v>1799</v>
      </c>
      <c r="J269" s="19">
        <f>'FPC wSEB'!J269-SEB!J269</f>
        <v>178643</v>
      </c>
      <c r="K269" s="19">
        <f>'FPC wSEB'!K269</f>
        <v>13302</v>
      </c>
      <c r="L269" s="19">
        <f>'FPC wSEB'!L269</f>
        <v>80348</v>
      </c>
      <c r="U269" s="2">
        <v>1996</v>
      </c>
      <c r="V269" s="2">
        <v>12</v>
      </c>
      <c r="W269" s="19">
        <f t="shared" si="11"/>
        <v>1304553</v>
      </c>
      <c r="X269" s="19">
        <f>'FPC wSEB'!X269-SEB!Q269</f>
        <v>1154229</v>
      </c>
      <c r="Y269" s="19">
        <f>'FPC wSEB'!Y269-SEB!R269</f>
        <v>129356</v>
      </c>
      <c r="Z269" s="19">
        <f>'FPC wSEB'!Z269-SEB!S269</f>
        <v>2848</v>
      </c>
      <c r="AA269" s="19">
        <f>'FPC wSEB'!AA269-SEB!T269</f>
        <v>2246</v>
      </c>
      <c r="AB269" s="19">
        <f>'FPC wSEB'!AB269-SEB!U269</f>
        <v>15859</v>
      </c>
      <c r="AC269" s="19">
        <f>'FPC wSEB'!AC269</f>
        <v>2</v>
      </c>
      <c r="AD269" s="19">
        <f>'FPC wSEB'!AD269</f>
        <v>13</v>
      </c>
    </row>
    <row r="270" spans="1:31">
      <c r="A270" s="2">
        <v>1997</v>
      </c>
      <c r="B270" s="2">
        <v>1</v>
      </c>
      <c r="C270" s="19">
        <f t="shared" si="10"/>
        <v>2510958</v>
      </c>
      <c r="D270" s="19">
        <f>'FPC wSEB'!D270-SEB!D270</f>
        <v>1214297</v>
      </c>
      <c r="E270" s="19">
        <f>'FPC wSEB'!E270-SEB!E270</f>
        <v>667623</v>
      </c>
      <c r="F270" s="19">
        <f>'FPC wSEB'!F270-SEB!F270</f>
        <v>362329</v>
      </c>
      <c r="G270" s="19">
        <f>'FPC wSEB'!G270-SEB!G270</f>
        <v>142709</v>
      </c>
      <c r="H270" s="19">
        <f>'FPC wSEB'!H270-SEB!H270</f>
        <v>219620</v>
      </c>
      <c r="I270" s="19">
        <f>'FPC wSEB'!I270-SEB!I270</f>
        <v>2176</v>
      </c>
      <c r="J270" s="19">
        <f>'FPC wSEB'!J270-SEB!J270</f>
        <v>165628</v>
      </c>
      <c r="K270" s="19">
        <f>'FPC wSEB'!K270</f>
        <v>7876</v>
      </c>
      <c r="L270" s="19">
        <f>'FPC wSEB'!L270</f>
        <v>91029</v>
      </c>
      <c r="U270" s="2">
        <v>1997</v>
      </c>
      <c r="V270" s="2">
        <v>1</v>
      </c>
      <c r="W270" s="19">
        <f t="shared" si="11"/>
        <v>1304500</v>
      </c>
      <c r="X270" s="19">
        <f>'FPC wSEB'!X270-SEB!Q270</f>
        <v>1154762</v>
      </c>
      <c r="Y270" s="19">
        <f>'FPC wSEB'!Y270-SEB!R270</f>
        <v>128923</v>
      </c>
      <c r="Z270" s="19">
        <f>'FPC wSEB'!Z270-SEB!S270</f>
        <v>2850</v>
      </c>
      <c r="AA270" s="19">
        <f>'FPC wSEB'!AA270-SEB!T270</f>
        <v>2234</v>
      </c>
      <c r="AB270" s="19">
        <f>'FPC wSEB'!AB270-SEB!U270</f>
        <v>15715</v>
      </c>
      <c r="AC270" s="19">
        <f>'FPC wSEB'!AC270</f>
        <v>2</v>
      </c>
      <c r="AD270" s="19">
        <f>'FPC wSEB'!AD270</f>
        <v>14</v>
      </c>
    </row>
    <row r="271" spans="1:31">
      <c r="A271" s="2">
        <v>1997</v>
      </c>
      <c r="B271" s="2">
        <v>2</v>
      </c>
      <c r="C271" s="19">
        <f t="shared" si="10"/>
        <v>2372248</v>
      </c>
      <c r="D271" s="19">
        <f>'FPC wSEB'!D271-SEB!D271</f>
        <v>1080805</v>
      </c>
      <c r="E271" s="19">
        <f>'FPC wSEB'!E271-SEB!E271</f>
        <v>625721</v>
      </c>
      <c r="F271" s="19">
        <f>'FPC wSEB'!F271-SEB!F271</f>
        <v>356562</v>
      </c>
      <c r="G271" s="19">
        <f>'FPC wSEB'!G271-SEB!G271</f>
        <v>132205</v>
      </c>
      <c r="H271" s="19">
        <f>'FPC wSEB'!H271-SEB!H271</f>
        <v>224357</v>
      </c>
      <c r="I271" s="19">
        <f>'FPC wSEB'!I271-SEB!I271</f>
        <v>2069</v>
      </c>
      <c r="J271" s="19">
        <f>'FPC wSEB'!J271-SEB!J271</f>
        <v>167540</v>
      </c>
      <c r="K271" s="19">
        <f>'FPC wSEB'!K271</f>
        <v>48733</v>
      </c>
      <c r="L271" s="19">
        <f>'FPC wSEB'!L271</f>
        <v>90818</v>
      </c>
      <c r="U271" s="2">
        <v>1997</v>
      </c>
      <c r="V271" s="2">
        <v>2</v>
      </c>
      <c r="W271" s="19">
        <f t="shared" si="11"/>
        <v>1305533</v>
      </c>
      <c r="X271" s="19">
        <f>'FPC wSEB'!X271-SEB!Q271</f>
        <v>1154696</v>
      </c>
      <c r="Y271" s="19">
        <f>'FPC wSEB'!Y271-SEB!R271</f>
        <v>129924</v>
      </c>
      <c r="Z271" s="19">
        <f>'FPC wSEB'!Z271-SEB!S271</f>
        <v>2845</v>
      </c>
      <c r="AA271" s="19">
        <f>'FPC wSEB'!AA271-SEB!T271</f>
        <v>2242</v>
      </c>
      <c r="AB271" s="19">
        <f>'FPC wSEB'!AB271-SEB!U271</f>
        <v>15810</v>
      </c>
      <c r="AC271" s="19">
        <f>'FPC wSEB'!AC271</f>
        <v>2</v>
      </c>
      <c r="AD271" s="19">
        <f>'FPC wSEB'!AD271</f>
        <v>14</v>
      </c>
    </row>
    <row r="272" spans="1:31">
      <c r="A272" s="2">
        <v>1997</v>
      </c>
      <c r="B272" s="2">
        <v>3</v>
      </c>
      <c r="C272" s="19">
        <f t="shared" si="10"/>
        <v>2297584</v>
      </c>
      <c r="D272" s="19">
        <f>'FPC wSEB'!D272-SEB!D272</f>
        <v>975918</v>
      </c>
      <c r="E272" s="19">
        <f>'FPC wSEB'!E272-SEB!E272</f>
        <v>682730</v>
      </c>
      <c r="F272" s="19">
        <f>'FPC wSEB'!F272-SEB!F272</f>
        <v>331004</v>
      </c>
      <c r="G272" s="19">
        <f>'FPC wSEB'!G272-SEB!G272</f>
        <v>108847</v>
      </c>
      <c r="H272" s="19">
        <f>'FPC wSEB'!H272-SEB!H272</f>
        <v>222157</v>
      </c>
      <c r="I272" s="19">
        <f>'FPC wSEB'!I272-SEB!I272</f>
        <v>2438</v>
      </c>
      <c r="J272" s="19">
        <f>'FPC wSEB'!J272-SEB!J272</f>
        <v>173826</v>
      </c>
      <c r="K272" s="19">
        <f>'FPC wSEB'!K272</f>
        <v>57826</v>
      </c>
      <c r="L272" s="19">
        <f>'FPC wSEB'!L272</f>
        <v>73842</v>
      </c>
      <c r="U272" s="2">
        <v>1997</v>
      </c>
      <c r="V272" s="2">
        <v>3</v>
      </c>
      <c r="W272" s="19">
        <f t="shared" si="11"/>
        <v>1315848</v>
      </c>
      <c r="X272" s="19">
        <f>'FPC wSEB'!X272-SEB!Q272</f>
        <v>1165242</v>
      </c>
      <c r="Y272" s="19">
        <f>'FPC wSEB'!Y272-SEB!R272</f>
        <v>129504</v>
      </c>
      <c r="Z272" s="19">
        <f>'FPC wSEB'!Z272-SEB!S272</f>
        <v>2856</v>
      </c>
      <c r="AA272" s="19">
        <f>'FPC wSEB'!AA272-SEB!T272</f>
        <v>2236</v>
      </c>
      <c r="AB272" s="19">
        <f>'FPC wSEB'!AB272-SEB!U272</f>
        <v>15994</v>
      </c>
      <c r="AC272" s="19">
        <f>'FPC wSEB'!AC272</f>
        <v>2</v>
      </c>
      <c r="AD272" s="19">
        <f>'FPC wSEB'!AD272</f>
        <v>14</v>
      </c>
    </row>
    <row r="273" spans="1:30">
      <c r="A273" s="2">
        <v>1997</v>
      </c>
      <c r="B273" s="2">
        <v>4</v>
      </c>
      <c r="C273" s="19">
        <f t="shared" si="10"/>
        <v>2329284</v>
      </c>
      <c r="D273" s="19">
        <f>'FPC wSEB'!D273-SEB!D273</f>
        <v>989581</v>
      </c>
      <c r="E273" s="19">
        <f>'FPC wSEB'!E273-SEB!E273</f>
        <v>727563</v>
      </c>
      <c r="F273" s="19">
        <f>'FPC wSEB'!F273-SEB!F273</f>
        <v>352423</v>
      </c>
      <c r="G273" s="19">
        <f>'FPC wSEB'!G273-SEB!G273</f>
        <v>115034</v>
      </c>
      <c r="H273" s="19">
        <f>'FPC wSEB'!H273-SEB!H273</f>
        <v>237389</v>
      </c>
      <c r="I273" s="19">
        <f>'FPC wSEB'!I273-SEB!I273</f>
        <v>2071</v>
      </c>
      <c r="J273" s="19">
        <f>'FPC wSEB'!J273-SEB!J273</f>
        <v>181026</v>
      </c>
      <c r="K273" s="19">
        <f>'FPC wSEB'!K273</f>
        <v>11764</v>
      </c>
      <c r="L273" s="19">
        <f>'FPC wSEB'!L273</f>
        <v>64856</v>
      </c>
      <c r="U273" s="2">
        <v>1997</v>
      </c>
      <c r="V273" s="2">
        <v>4</v>
      </c>
      <c r="W273" s="19">
        <f t="shared" si="11"/>
        <v>1291121</v>
      </c>
      <c r="X273" s="19">
        <f>'FPC wSEB'!X273-SEB!Q273</f>
        <v>1140960</v>
      </c>
      <c r="Y273" s="19">
        <f>'FPC wSEB'!Y273-SEB!R273</f>
        <v>129133</v>
      </c>
      <c r="Z273" s="19">
        <f>'FPC wSEB'!Z273-SEB!S273</f>
        <v>2855</v>
      </c>
      <c r="AA273" s="19">
        <f>'FPC wSEB'!AA273-SEB!T273</f>
        <v>2224</v>
      </c>
      <c r="AB273" s="19">
        <f>'FPC wSEB'!AB273-SEB!U273</f>
        <v>15933</v>
      </c>
      <c r="AC273" s="19">
        <f>'FPC wSEB'!AC273</f>
        <v>2</v>
      </c>
      <c r="AD273" s="19">
        <f>'FPC wSEB'!AD273</f>
        <v>14</v>
      </c>
    </row>
    <row r="274" spans="1:30">
      <c r="A274" s="2">
        <v>1997</v>
      </c>
      <c r="B274" s="2">
        <v>5</v>
      </c>
      <c r="C274" s="19">
        <f t="shared" si="10"/>
        <v>2328154</v>
      </c>
      <c r="D274" s="19">
        <f>'FPC wSEB'!D274-SEB!D274</f>
        <v>1017188</v>
      </c>
      <c r="E274" s="19">
        <f>'FPC wSEB'!E274-SEB!E274</f>
        <v>707694</v>
      </c>
      <c r="F274" s="19">
        <f>'FPC wSEB'!F274-SEB!F274</f>
        <v>353508</v>
      </c>
      <c r="G274" s="19">
        <f>'FPC wSEB'!G274-SEB!G274</f>
        <v>115827</v>
      </c>
      <c r="H274" s="19">
        <f>'FPC wSEB'!H274-SEB!H274</f>
        <v>237681</v>
      </c>
      <c r="I274" s="19">
        <f>'FPC wSEB'!I274-SEB!I274</f>
        <v>2248</v>
      </c>
      <c r="J274" s="19">
        <f>'FPC wSEB'!J274-SEB!J274</f>
        <v>180203</v>
      </c>
      <c r="K274" s="19">
        <f>'FPC wSEB'!K274</f>
        <v>6263</v>
      </c>
      <c r="L274" s="19">
        <f>'FPC wSEB'!L274</f>
        <v>61050</v>
      </c>
      <c r="U274" s="2">
        <v>1997</v>
      </c>
      <c r="V274" s="2">
        <v>5</v>
      </c>
      <c r="W274" s="19">
        <f t="shared" si="11"/>
        <v>1301994</v>
      </c>
      <c r="X274" s="19">
        <f>'FPC wSEB'!X274-SEB!Q274</f>
        <v>1149344</v>
      </c>
      <c r="Y274" s="19">
        <f>'FPC wSEB'!Y274-SEB!R274</f>
        <v>131392</v>
      </c>
      <c r="Z274" s="19">
        <f>'FPC wSEB'!Z274-SEB!S274</f>
        <v>2825</v>
      </c>
      <c r="AA274" s="19">
        <f>'FPC wSEB'!AA274-SEB!T274</f>
        <v>2198</v>
      </c>
      <c r="AB274" s="19">
        <f>'FPC wSEB'!AB274-SEB!U274</f>
        <v>16219</v>
      </c>
      <c r="AC274" s="19">
        <f>'FPC wSEB'!AC274</f>
        <v>2</v>
      </c>
      <c r="AD274" s="19">
        <f>'FPC wSEB'!AD274</f>
        <v>14</v>
      </c>
    </row>
    <row r="275" spans="1:30">
      <c r="A275" s="2">
        <v>1997</v>
      </c>
      <c r="B275" s="2">
        <v>6</v>
      </c>
      <c r="C275" s="19">
        <f t="shared" si="10"/>
        <v>2802950</v>
      </c>
      <c r="D275" s="19">
        <f>'FPC wSEB'!D275-SEB!D275</f>
        <v>1333393</v>
      </c>
      <c r="E275" s="19">
        <f>'FPC wSEB'!E275-SEB!E275</f>
        <v>813330</v>
      </c>
      <c r="F275" s="19">
        <f>'FPC wSEB'!F275-SEB!F275</f>
        <v>368175</v>
      </c>
      <c r="G275" s="19">
        <f>'FPC wSEB'!G275-SEB!G275</f>
        <v>118451</v>
      </c>
      <c r="H275" s="19">
        <f>'FPC wSEB'!H275-SEB!H275</f>
        <v>249724</v>
      </c>
      <c r="I275" s="19">
        <f>'FPC wSEB'!I275-SEB!I275</f>
        <v>2225</v>
      </c>
      <c r="J275" s="19">
        <f>'FPC wSEB'!J275-SEB!J275</f>
        <v>197961</v>
      </c>
      <c r="K275" s="19">
        <f>'FPC wSEB'!K275</f>
        <v>3700</v>
      </c>
      <c r="L275" s="19">
        <f>'FPC wSEB'!L275</f>
        <v>84166</v>
      </c>
      <c r="U275" s="2">
        <v>1997</v>
      </c>
      <c r="V275" s="2">
        <v>6</v>
      </c>
      <c r="W275" s="19">
        <f t="shared" si="11"/>
        <v>1288450</v>
      </c>
      <c r="X275" s="19">
        <f>'FPC wSEB'!X275-SEB!Q275</f>
        <v>1136851</v>
      </c>
      <c r="Y275" s="19">
        <f>'FPC wSEB'!Y275-SEB!R275</f>
        <v>130437</v>
      </c>
      <c r="Z275" s="19">
        <f>'FPC wSEB'!Z275-SEB!S275</f>
        <v>2854</v>
      </c>
      <c r="AA275" s="19">
        <f>'FPC wSEB'!AA275-SEB!T275</f>
        <v>2186</v>
      </c>
      <c r="AB275" s="19">
        <f>'FPC wSEB'!AB275-SEB!U275</f>
        <v>16106</v>
      </c>
      <c r="AC275" s="19">
        <f>'FPC wSEB'!AC275</f>
        <v>2</v>
      </c>
      <c r="AD275" s="19">
        <f>'FPC wSEB'!AD275</f>
        <v>14</v>
      </c>
    </row>
    <row r="276" spans="1:30">
      <c r="A276" s="2">
        <v>1997</v>
      </c>
      <c r="B276" s="2">
        <v>7</v>
      </c>
      <c r="C276" s="19">
        <f t="shared" si="10"/>
        <v>3138756</v>
      </c>
      <c r="D276" s="19">
        <f>'FPC wSEB'!D276-SEB!D276</f>
        <v>1580943</v>
      </c>
      <c r="E276" s="19">
        <f>'FPC wSEB'!E276-SEB!E276</f>
        <v>878067</v>
      </c>
      <c r="F276" s="19">
        <f>'FPC wSEB'!F276-SEB!F276</f>
        <v>355859</v>
      </c>
      <c r="G276" s="19">
        <f>'FPC wSEB'!G276-SEB!G276</f>
        <v>115274</v>
      </c>
      <c r="H276" s="19">
        <f>'FPC wSEB'!H276-SEB!H276</f>
        <v>240585</v>
      </c>
      <c r="I276" s="19">
        <f>'FPC wSEB'!I276-SEB!I276</f>
        <v>2228</v>
      </c>
      <c r="J276" s="19">
        <f>'FPC wSEB'!J276-SEB!J276</f>
        <v>196660</v>
      </c>
      <c r="K276" s="19">
        <f>'FPC wSEB'!K276</f>
        <v>49376</v>
      </c>
      <c r="L276" s="19">
        <f>'FPC wSEB'!L276</f>
        <v>75623</v>
      </c>
      <c r="U276" s="2">
        <v>1997</v>
      </c>
      <c r="V276" s="2">
        <v>7</v>
      </c>
      <c r="W276" s="19">
        <f t="shared" si="11"/>
        <v>1281481</v>
      </c>
      <c r="X276" s="19">
        <f>'FPC wSEB'!X276-SEB!Q276</f>
        <v>1129932</v>
      </c>
      <c r="Y276" s="19">
        <f>'FPC wSEB'!Y276-SEB!R276</f>
        <v>130571</v>
      </c>
      <c r="Z276" s="19">
        <f>'FPC wSEB'!Z276-SEB!S276</f>
        <v>2818</v>
      </c>
      <c r="AA276" s="19">
        <f>'FPC wSEB'!AA276-SEB!T276</f>
        <v>2168</v>
      </c>
      <c r="AB276" s="19">
        <f>'FPC wSEB'!AB276-SEB!U276</f>
        <v>15974</v>
      </c>
      <c r="AC276" s="19">
        <f>'FPC wSEB'!AC276</f>
        <v>3</v>
      </c>
      <c r="AD276" s="19">
        <f>'FPC wSEB'!AD276</f>
        <v>15</v>
      </c>
    </row>
    <row r="277" spans="1:30">
      <c r="A277" s="2">
        <v>1997</v>
      </c>
      <c r="B277" s="2">
        <v>8</v>
      </c>
      <c r="C277" s="19">
        <f t="shared" si="10"/>
        <v>3206547</v>
      </c>
      <c r="D277" s="19">
        <f>'FPC wSEB'!D277-SEB!D277</f>
        <v>1594961</v>
      </c>
      <c r="E277" s="19">
        <f>'FPC wSEB'!E277-SEB!E277</f>
        <v>863371</v>
      </c>
      <c r="F277" s="19">
        <f>'FPC wSEB'!F277-SEB!F277</f>
        <v>353653</v>
      </c>
      <c r="G277" s="19">
        <f>'FPC wSEB'!G277-SEB!G277</f>
        <v>115042</v>
      </c>
      <c r="H277" s="19">
        <f>'FPC wSEB'!H277-SEB!H277</f>
        <v>238611</v>
      </c>
      <c r="I277" s="19">
        <f>'FPC wSEB'!I277-SEB!I277</f>
        <v>2255</v>
      </c>
      <c r="J277" s="19">
        <f>'FPC wSEB'!J277-SEB!J277</f>
        <v>201989</v>
      </c>
      <c r="K277" s="19">
        <f>'FPC wSEB'!K277</f>
        <v>92110</v>
      </c>
      <c r="L277" s="19">
        <f>'FPC wSEB'!L277</f>
        <v>98208</v>
      </c>
      <c r="U277" s="2">
        <v>1997</v>
      </c>
      <c r="V277" s="2">
        <v>8</v>
      </c>
      <c r="W277" s="19">
        <f t="shared" si="11"/>
        <v>1296959</v>
      </c>
      <c r="X277" s="19">
        <f>'FPC wSEB'!X277-SEB!Q277</f>
        <v>1144370</v>
      </c>
      <c r="Y277" s="19">
        <f>'FPC wSEB'!Y277-SEB!R277</f>
        <v>131269</v>
      </c>
      <c r="Z277" s="19">
        <f>'FPC wSEB'!Z277-SEB!S277</f>
        <v>2795</v>
      </c>
      <c r="AA277" s="19">
        <f>'FPC wSEB'!AA277-SEB!T277</f>
        <v>2185</v>
      </c>
      <c r="AB277" s="19">
        <f>'FPC wSEB'!AB277-SEB!U277</f>
        <v>16322</v>
      </c>
      <c r="AC277" s="19">
        <f>'FPC wSEB'!AC277</f>
        <v>3</v>
      </c>
      <c r="AD277" s="19">
        <f>'FPC wSEB'!AD277</f>
        <v>15</v>
      </c>
    </row>
    <row r="278" spans="1:30">
      <c r="A278" s="2">
        <v>1997</v>
      </c>
      <c r="B278" s="2">
        <v>9</v>
      </c>
      <c r="C278" s="19">
        <f t="shared" si="10"/>
        <v>3321614</v>
      </c>
      <c r="D278" s="19">
        <f>'FPC wSEB'!D278-SEB!D278</f>
        <v>1596730</v>
      </c>
      <c r="E278" s="19">
        <f>'FPC wSEB'!E278-SEB!E278</f>
        <v>886747</v>
      </c>
      <c r="F278" s="19">
        <f>'FPC wSEB'!F278-SEB!F278</f>
        <v>348889</v>
      </c>
      <c r="G278" s="19">
        <f>'FPC wSEB'!G278-SEB!G278</f>
        <v>112342</v>
      </c>
      <c r="H278" s="19">
        <f>'FPC wSEB'!H278-SEB!H278</f>
        <v>236547</v>
      </c>
      <c r="I278" s="19">
        <f>'FPC wSEB'!I278-SEB!I278</f>
        <v>2246</v>
      </c>
      <c r="J278" s="19">
        <f>'FPC wSEB'!J278-SEB!J278</f>
        <v>219617</v>
      </c>
      <c r="K278" s="19">
        <f>'FPC wSEB'!K278</f>
        <v>146546</v>
      </c>
      <c r="L278" s="19">
        <f>'FPC wSEB'!L278</f>
        <v>120839</v>
      </c>
      <c r="U278" s="2">
        <v>1997</v>
      </c>
      <c r="V278" s="2">
        <v>9</v>
      </c>
      <c r="W278" s="19">
        <f t="shared" ref="W278:W284" si="12">SUM(X278:AD278)</f>
        <v>1278157</v>
      </c>
      <c r="X278" s="19">
        <f>'FPC wSEB'!X278-SEB!Q278</f>
        <v>1126164</v>
      </c>
      <c r="Y278" s="19">
        <f>'FPC wSEB'!Y278-SEB!R278</f>
        <v>130850</v>
      </c>
      <c r="Z278" s="19">
        <f>'FPC wSEB'!Z278-SEB!S278</f>
        <v>2817</v>
      </c>
      <c r="AA278" s="19">
        <f>'FPC wSEB'!AA278-SEB!T278</f>
        <v>2188</v>
      </c>
      <c r="AB278" s="19">
        <f>'FPC wSEB'!AB278-SEB!U278</f>
        <v>16120</v>
      </c>
      <c r="AC278" s="19">
        <f>'FPC wSEB'!AC278</f>
        <v>3</v>
      </c>
      <c r="AD278" s="19">
        <f>'FPC wSEB'!AD278</f>
        <v>15</v>
      </c>
    </row>
    <row r="279" spans="1:30">
      <c r="A279" s="2">
        <v>1997</v>
      </c>
      <c r="B279" s="2">
        <v>10</v>
      </c>
      <c r="C279" s="19">
        <f t="shared" si="10"/>
        <v>3152620</v>
      </c>
      <c r="D279" s="19">
        <f>'FPC wSEB'!D279-SEB!D279</f>
        <v>1456190</v>
      </c>
      <c r="E279" s="19">
        <f>'FPC wSEB'!E279-SEB!E279</f>
        <v>864893</v>
      </c>
      <c r="F279" s="19">
        <f>'FPC wSEB'!F279-SEB!F279</f>
        <v>364017</v>
      </c>
      <c r="G279" s="19">
        <f>'FPC wSEB'!G279-SEB!G279</f>
        <v>113267</v>
      </c>
      <c r="H279" s="19">
        <f>'FPC wSEB'!H279-SEB!H279</f>
        <v>250750</v>
      </c>
      <c r="I279" s="19">
        <f>'FPC wSEB'!I279-SEB!I279</f>
        <v>2265</v>
      </c>
      <c r="J279" s="19">
        <f>'FPC wSEB'!J279-SEB!J279</f>
        <v>220870</v>
      </c>
      <c r="K279" s="19">
        <f>'FPC wSEB'!K279</f>
        <v>143124</v>
      </c>
      <c r="L279" s="19">
        <f>'FPC wSEB'!L279</f>
        <v>101261</v>
      </c>
      <c r="U279" s="2">
        <v>1997</v>
      </c>
      <c r="V279" s="2">
        <v>10</v>
      </c>
      <c r="W279" s="19">
        <f t="shared" si="12"/>
        <v>1308299</v>
      </c>
      <c r="X279" s="19">
        <f>'FPC wSEB'!X279-SEB!Q279</f>
        <v>1154393</v>
      </c>
      <c r="Y279" s="19">
        <f>'FPC wSEB'!Y279-SEB!R279</f>
        <v>132684</v>
      </c>
      <c r="Z279" s="19">
        <f>'FPC wSEB'!Z279-SEB!S279</f>
        <v>2813</v>
      </c>
      <c r="AA279" s="19">
        <f>'FPC wSEB'!AA279-SEB!T279</f>
        <v>2179</v>
      </c>
      <c r="AB279" s="19">
        <f>'FPC wSEB'!AB279-SEB!U279</f>
        <v>16212</v>
      </c>
      <c r="AC279" s="19">
        <f>'FPC wSEB'!AC279</f>
        <v>3</v>
      </c>
      <c r="AD279" s="19">
        <f>'FPC wSEB'!AD279</f>
        <v>15</v>
      </c>
    </row>
    <row r="280" spans="1:30">
      <c r="A280" s="2">
        <v>1997</v>
      </c>
      <c r="B280" s="2">
        <v>11</v>
      </c>
      <c r="C280" s="19">
        <f t="shared" si="10"/>
        <v>2585149</v>
      </c>
      <c r="D280" s="19">
        <f>'FPC wSEB'!D280-SEB!D280</f>
        <v>1047741</v>
      </c>
      <c r="E280" s="19">
        <f>'FPC wSEB'!E280-SEB!E280</f>
        <v>761212</v>
      </c>
      <c r="F280" s="19">
        <f>'FPC wSEB'!F280-SEB!F280</f>
        <v>357387</v>
      </c>
      <c r="G280" s="19">
        <f>'FPC wSEB'!G280-SEB!G280</f>
        <v>128619</v>
      </c>
      <c r="H280" s="19">
        <f>'FPC wSEB'!H280-SEB!H280</f>
        <v>228768</v>
      </c>
      <c r="I280" s="19">
        <f>'FPC wSEB'!I280-SEB!I280</f>
        <v>2233</v>
      </c>
      <c r="J280" s="19">
        <f>'FPC wSEB'!J280-SEB!J280</f>
        <v>195203</v>
      </c>
      <c r="K280" s="19">
        <f>'FPC wSEB'!K280</f>
        <v>117335</v>
      </c>
      <c r="L280" s="19">
        <f>'FPC wSEB'!L280</f>
        <v>104038</v>
      </c>
      <c r="U280" s="2">
        <v>1997</v>
      </c>
      <c r="V280" s="2">
        <v>11</v>
      </c>
      <c r="W280" s="19">
        <f t="shared" si="12"/>
        <v>1348531</v>
      </c>
      <c r="X280" s="19">
        <f>'FPC wSEB'!X280-SEB!Q280</f>
        <v>1190000</v>
      </c>
      <c r="Y280" s="19">
        <f>'FPC wSEB'!Y280-SEB!R280</f>
        <v>136749</v>
      </c>
      <c r="Z280" s="19">
        <f>'FPC wSEB'!Z280-SEB!S280</f>
        <v>2868</v>
      </c>
      <c r="AA280" s="19">
        <f>'FPC wSEB'!AA280-SEB!T280</f>
        <v>2165</v>
      </c>
      <c r="AB280" s="19">
        <f>'FPC wSEB'!AB280-SEB!U280</f>
        <v>16732</v>
      </c>
      <c r="AC280" s="19">
        <f>'FPC wSEB'!AC280</f>
        <v>2</v>
      </c>
      <c r="AD280" s="19">
        <f>'FPC wSEB'!AD280</f>
        <v>15</v>
      </c>
    </row>
    <row r="281" spans="1:30">
      <c r="A281" s="2">
        <v>1997</v>
      </c>
      <c r="B281" s="2">
        <v>12</v>
      </c>
      <c r="C281" s="19">
        <f t="shared" si="10"/>
        <v>2361930</v>
      </c>
      <c r="D281" s="19">
        <f>'FPC wSEB'!D281-SEB!D281</f>
        <v>1090875</v>
      </c>
      <c r="E281" s="19">
        <f>'FPC wSEB'!E281-SEB!E281</f>
        <v>695683</v>
      </c>
      <c r="F281" s="19">
        <f>'FPC wSEB'!F281-SEB!F281</f>
        <v>283910</v>
      </c>
      <c r="G281" s="19">
        <f>'FPC wSEB'!G281-SEB!G281</f>
        <v>67538</v>
      </c>
      <c r="H281" s="19">
        <f>'FPC wSEB'!H281-SEB!H281</f>
        <v>216372</v>
      </c>
      <c r="I281" s="19">
        <f>'FPC wSEB'!I281-SEB!I281</f>
        <v>2263</v>
      </c>
      <c r="J281" s="19">
        <f>'FPC wSEB'!J281-SEB!J281</f>
        <v>181454</v>
      </c>
      <c r="K281" s="19">
        <f>'FPC wSEB'!K281</f>
        <v>38289</v>
      </c>
      <c r="L281" s="19">
        <f>'FPC wSEB'!L281</f>
        <v>69456</v>
      </c>
      <c r="U281" s="2">
        <v>1997</v>
      </c>
      <c r="V281" s="2">
        <v>12</v>
      </c>
      <c r="W281" s="19">
        <f t="shared" si="12"/>
        <v>1307334</v>
      </c>
      <c r="X281" s="19">
        <f>'FPC wSEB'!X281-SEB!Q281</f>
        <v>1154668</v>
      </c>
      <c r="Y281" s="19">
        <f>'FPC wSEB'!Y281-SEB!R281</f>
        <v>131430</v>
      </c>
      <c r="Z281" s="19">
        <f>'FPC wSEB'!Z281-SEB!S281</f>
        <v>2737</v>
      </c>
      <c r="AA281" s="19">
        <f>'FPC wSEB'!AA281-SEB!T281</f>
        <v>2164</v>
      </c>
      <c r="AB281" s="19">
        <f>'FPC wSEB'!AB281-SEB!U281</f>
        <v>16320</v>
      </c>
      <c r="AC281" s="19">
        <f>'FPC wSEB'!AC281</f>
        <v>2</v>
      </c>
      <c r="AD281" s="19">
        <f>'FPC wSEB'!AD281</f>
        <v>13</v>
      </c>
    </row>
    <row r="282" spans="1:30">
      <c r="A282" s="2">
        <v>1998</v>
      </c>
      <c r="B282" s="2">
        <v>1</v>
      </c>
      <c r="C282" s="19">
        <f t="shared" si="10"/>
        <v>2581601</v>
      </c>
      <c r="D282" s="19">
        <f>'FPC wSEB'!D282-SEB!D282</f>
        <v>1278621</v>
      </c>
      <c r="E282" s="19">
        <f>'FPC wSEB'!E282-SEB!E282</f>
        <v>704379</v>
      </c>
      <c r="F282" s="19">
        <f>'FPC wSEB'!F282-SEB!F282</f>
        <v>328551</v>
      </c>
      <c r="G282" s="19">
        <f>'FPC wSEB'!G282-SEB!G282</f>
        <v>108003</v>
      </c>
      <c r="H282" s="19">
        <f>'FPC wSEB'!H282-SEB!H282</f>
        <v>220548</v>
      </c>
      <c r="I282" s="19">
        <f>'FPC wSEB'!I282-SEB!I282</f>
        <v>2159</v>
      </c>
      <c r="J282" s="19">
        <f>'FPC wSEB'!J282-SEB!J282</f>
        <v>173741</v>
      </c>
      <c r="K282" s="19">
        <f>'FPC wSEB'!K282</f>
        <v>9171</v>
      </c>
      <c r="L282" s="19">
        <f>'FPC wSEB'!L282</f>
        <v>84979</v>
      </c>
      <c r="U282" s="2">
        <v>1998</v>
      </c>
      <c r="V282" s="2">
        <v>1</v>
      </c>
      <c r="W282" s="19">
        <f t="shared" si="12"/>
        <v>1319704</v>
      </c>
      <c r="X282" s="19">
        <f>'FPC wSEB'!X282-SEB!Q282</f>
        <v>1166429</v>
      </c>
      <c r="Y282" s="19">
        <f>'FPC wSEB'!Y282-SEB!R282</f>
        <v>132113</v>
      </c>
      <c r="Z282" s="19">
        <f>'FPC wSEB'!Z282-SEB!S282</f>
        <v>2734</v>
      </c>
      <c r="AA282" s="19">
        <f>'FPC wSEB'!AA282-SEB!T282</f>
        <v>2152</v>
      </c>
      <c r="AB282" s="19">
        <f>'FPC wSEB'!AB282-SEB!U282</f>
        <v>16260</v>
      </c>
      <c r="AC282" s="19">
        <f>'FPC wSEB'!AC282</f>
        <v>2</v>
      </c>
      <c r="AD282" s="19">
        <f>'FPC wSEB'!AD282</f>
        <v>14</v>
      </c>
    </row>
    <row r="283" spans="1:30">
      <c r="A283" s="2">
        <v>1998</v>
      </c>
      <c r="B283" s="2">
        <v>2</v>
      </c>
      <c r="C283" s="19">
        <f t="shared" si="10"/>
        <v>2441090</v>
      </c>
      <c r="D283" s="19">
        <f>'FPC wSEB'!D283-SEB!D283</f>
        <v>1153006</v>
      </c>
      <c r="E283" s="19">
        <f>'FPC wSEB'!E283-SEB!E283</f>
        <v>650770</v>
      </c>
      <c r="F283" s="19">
        <f>'FPC wSEB'!F283-SEB!F283</f>
        <v>318620</v>
      </c>
      <c r="G283" s="19">
        <f>'FPC wSEB'!G283-SEB!G283</f>
        <v>112505</v>
      </c>
      <c r="H283" s="19">
        <f>'FPC wSEB'!H283-SEB!H283</f>
        <v>206115</v>
      </c>
      <c r="I283" s="19">
        <f>'FPC wSEB'!I283-SEB!I283</f>
        <v>2324</v>
      </c>
      <c r="J283" s="19">
        <f>'FPC wSEB'!J283-SEB!J283</f>
        <v>167540</v>
      </c>
      <c r="K283" s="19">
        <f>'FPC wSEB'!K283</f>
        <v>66995</v>
      </c>
      <c r="L283" s="19">
        <f>'FPC wSEB'!L283</f>
        <v>81835</v>
      </c>
      <c r="U283" s="2">
        <v>1998</v>
      </c>
      <c r="V283" s="2">
        <v>2</v>
      </c>
      <c r="W283" s="19">
        <f t="shared" si="12"/>
        <v>1345623</v>
      </c>
      <c r="X283" s="19">
        <f>'FPC wSEB'!X283-SEB!Q283</f>
        <v>1189737</v>
      </c>
      <c r="Y283" s="19">
        <f>'FPC wSEB'!Y283-SEB!R283</f>
        <v>134520</v>
      </c>
      <c r="Z283" s="19">
        <f>'FPC wSEB'!Z283-SEB!S283</f>
        <v>2742</v>
      </c>
      <c r="AA283" s="19">
        <f>'FPC wSEB'!AA283-SEB!T283</f>
        <v>2142</v>
      </c>
      <c r="AB283" s="19">
        <f>'FPC wSEB'!AB283-SEB!U283</f>
        <v>16466</v>
      </c>
      <c r="AC283" s="19">
        <f>'FPC wSEB'!AC283</f>
        <v>2</v>
      </c>
      <c r="AD283" s="19">
        <f>'FPC wSEB'!AD283</f>
        <v>14</v>
      </c>
    </row>
    <row r="284" spans="1:30">
      <c r="A284" s="2">
        <v>1998</v>
      </c>
      <c r="B284" s="2">
        <v>3</v>
      </c>
      <c r="C284" s="19">
        <f t="shared" si="10"/>
        <v>2375694</v>
      </c>
      <c r="D284" s="19">
        <f>'FPC wSEB'!D284-SEB!D284</f>
        <v>1096334</v>
      </c>
      <c r="E284" s="19">
        <f>'FPC wSEB'!E284-SEB!E284</f>
        <v>657482</v>
      </c>
      <c r="F284" s="19">
        <f>'FPC wSEB'!F284-SEB!F284</f>
        <v>335684</v>
      </c>
      <c r="G284" s="19">
        <f>'FPC wSEB'!G284-SEB!G284</f>
        <v>112430</v>
      </c>
      <c r="H284" s="19">
        <f>'FPC wSEB'!H284-SEB!H284</f>
        <v>223254</v>
      </c>
      <c r="I284" s="19">
        <f>'FPC wSEB'!I284-SEB!I284</f>
        <v>2259</v>
      </c>
      <c r="J284" s="19">
        <f>'FPC wSEB'!J284-SEB!J284</f>
        <v>178214</v>
      </c>
      <c r="K284" s="19">
        <f>'FPC wSEB'!K284</f>
        <v>38755</v>
      </c>
      <c r="L284" s="19">
        <f>'FPC wSEB'!L284</f>
        <v>66966</v>
      </c>
      <c r="U284" s="2">
        <v>1998</v>
      </c>
      <c r="V284" s="2">
        <v>3</v>
      </c>
      <c r="W284" s="19">
        <f t="shared" si="12"/>
        <v>1323981</v>
      </c>
      <c r="X284" s="19">
        <f>'FPC wSEB'!X284-SEB!Q284</f>
        <v>1170595</v>
      </c>
      <c r="Y284" s="19">
        <f>'FPC wSEB'!Y284-SEB!R284</f>
        <v>132170</v>
      </c>
      <c r="Z284" s="19">
        <f>'FPC wSEB'!Z284-SEB!S284</f>
        <v>2737</v>
      </c>
      <c r="AA284" s="19">
        <f>'FPC wSEB'!AA284-SEB!T284</f>
        <v>2139</v>
      </c>
      <c r="AB284" s="19">
        <f>'FPC wSEB'!AB284-SEB!U284</f>
        <v>16324</v>
      </c>
      <c r="AC284" s="19">
        <f>'FPC wSEB'!AC284</f>
        <v>2</v>
      </c>
      <c r="AD284" s="19">
        <f>'FPC wSEB'!AD284</f>
        <v>14</v>
      </c>
    </row>
    <row r="285" spans="1:30">
      <c r="A285" s="2">
        <v>1998</v>
      </c>
      <c r="B285" s="2">
        <v>4</v>
      </c>
      <c r="C285" s="19">
        <f t="shared" ref="C285:C293" si="13">SUM(D285:F285,I285:L285)</f>
        <v>2526750</v>
      </c>
      <c r="D285" s="19">
        <f>'FPC wSEB'!D285-SEB!D285</f>
        <v>1103833</v>
      </c>
      <c r="E285" s="19">
        <f>'FPC wSEB'!E285-SEB!E285</f>
        <v>749393</v>
      </c>
      <c r="F285" s="19">
        <f>'FPC wSEB'!F285-SEB!F285</f>
        <v>373883</v>
      </c>
      <c r="G285" s="19">
        <f>'FPC wSEB'!G285-SEB!G285</f>
        <v>130713</v>
      </c>
      <c r="H285" s="19">
        <f>'FPC wSEB'!H285-SEB!H285</f>
        <v>243170</v>
      </c>
      <c r="I285" s="19">
        <f>'FPC wSEB'!I285-SEB!I285</f>
        <v>2303</v>
      </c>
      <c r="J285" s="19">
        <f>'FPC wSEB'!J285-SEB!J285</f>
        <v>185148</v>
      </c>
      <c r="K285" s="19">
        <f>'FPC wSEB'!K285</f>
        <v>45186</v>
      </c>
      <c r="L285" s="19">
        <f>'FPC wSEB'!L285</f>
        <v>67004</v>
      </c>
      <c r="U285" s="2">
        <v>1998</v>
      </c>
      <c r="V285" s="2">
        <v>4</v>
      </c>
      <c r="W285" s="19">
        <f t="shared" ref="W285:W290" si="14">SUM(X285:AD285)</f>
        <v>1347630</v>
      </c>
      <c r="X285" s="19">
        <f>'FPC wSEB'!X285-SEB!Q285</f>
        <v>1189256</v>
      </c>
      <c r="Y285" s="19">
        <f>'FPC wSEB'!Y285-SEB!R285</f>
        <v>136693</v>
      </c>
      <c r="Z285" s="19">
        <f>'FPC wSEB'!Z285-SEB!S285</f>
        <v>2762</v>
      </c>
      <c r="AA285" s="19">
        <f>'FPC wSEB'!AA285-SEB!T285</f>
        <v>2139</v>
      </c>
      <c r="AB285" s="19">
        <f>'FPC wSEB'!AB285-SEB!U285</f>
        <v>16764</v>
      </c>
      <c r="AC285" s="19">
        <f>'FPC wSEB'!AC285</f>
        <v>2</v>
      </c>
      <c r="AD285" s="19">
        <f>'FPC wSEB'!AD285</f>
        <v>14</v>
      </c>
    </row>
    <row r="286" spans="1:30">
      <c r="A286" s="2">
        <v>1998</v>
      </c>
      <c r="B286" s="2">
        <v>5</v>
      </c>
      <c r="C286" s="19">
        <f t="shared" si="13"/>
        <v>2587409</v>
      </c>
      <c r="D286" s="19">
        <f>'FPC wSEB'!D286-SEB!D286</f>
        <v>1103754</v>
      </c>
      <c r="E286" s="19">
        <f>'FPC wSEB'!E286-SEB!E286</f>
        <v>800958</v>
      </c>
      <c r="F286" s="19">
        <f>'FPC wSEB'!F286-SEB!F286</f>
        <v>368442</v>
      </c>
      <c r="G286" s="19">
        <f>'FPC wSEB'!G286-SEB!G286</f>
        <v>128748</v>
      </c>
      <c r="H286" s="19">
        <f>'FPC wSEB'!H286-SEB!H286</f>
        <v>239694</v>
      </c>
      <c r="I286" s="19">
        <f>'FPC wSEB'!I286-SEB!I286</f>
        <v>2232</v>
      </c>
      <c r="J286" s="19">
        <f>'FPC wSEB'!J286-SEB!J286</f>
        <v>191458</v>
      </c>
      <c r="K286" s="19">
        <f>'FPC wSEB'!K286</f>
        <v>44010</v>
      </c>
      <c r="L286" s="19">
        <f>'FPC wSEB'!L286</f>
        <v>76555</v>
      </c>
      <c r="U286" s="2">
        <v>1998</v>
      </c>
      <c r="V286" s="2">
        <v>5</v>
      </c>
      <c r="W286" s="19">
        <f t="shared" si="14"/>
        <v>1305592</v>
      </c>
      <c r="X286" s="19">
        <f>'FPC wSEB'!X286-SEB!Q286</f>
        <v>1150554</v>
      </c>
      <c r="Y286" s="19">
        <f>'FPC wSEB'!Y286-SEB!R286</f>
        <v>133778</v>
      </c>
      <c r="Z286" s="19">
        <f>'FPC wSEB'!Z286-SEB!S286</f>
        <v>2673</v>
      </c>
      <c r="AA286" s="19">
        <f>'FPC wSEB'!AA286-SEB!T286</f>
        <v>2131</v>
      </c>
      <c r="AB286" s="19">
        <f>'FPC wSEB'!AB286-SEB!U286</f>
        <v>16440</v>
      </c>
      <c r="AC286" s="19">
        <f>'FPC wSEB'!AC286</f>
        <v>2</v>
      </c>
      <c r="AD286" s="19">
        <f>'FPC wSEB'!AD286</f>
        <v>14</v>
      </c>
    </row>
    <row r="287" spans="1:30">
      <c r="A287" s="2">
        <v>1998</v>
      </c>
      <c r="B287" s="2">
        <v>6</v>
      </c>
      <c r="C287" s="19">
        <f t="shared" si="13"/>
        <v>3259331</v>
      </c>
      <c r="D287" s="19">
        <f>'FPC wSEB'!D287-SEB!D287</f>
        <v>1625763</v>
      </c>
      <c r="E287" s="19">
        <f>'FPC wSEB'!E287-SEB!E287</f>
        <v>925834</v>
      </c>
      <c r="F287" s="19">
        <f>'FPC wSEB'!F287-SEB!F287</f>
        <v>377893</v>
      </c>
      <c r="G287" s="19">
        <f>'FPC wSEB'!G287-SEB!G287</f>
        <v>131950</v>
      </c>
      <c r="H287" s="19">
        <f>'FPC wSEB'!H287-SEB!H287</f>
        <v>245943</v>
      </c>
      <c r="I287" s="19">
        <f>'FPC wSEB'!I287-SEB!I287</f>
        <v>2223</v>
      </c>
      <c r="J287" s="19">
        <f>'FPC wSEB'!J287-SEB!J287</f>
        <v>219946</v>
      </c>
      <c r="K287" s="19">
        <f>'FPC wSEB'!K287</f>
        <v>16934</v>
      </c>
      <c r="L287" s="19">
        <f>'FPC wSEB'!L287</f>
        <v>90738</v>
      </c>
      <c r="U287" s="2">
        <v>1998</v>
      </c>
      <c r="V287" s="2">
        <v>6</v>
      </c>
      <c r="W287" s="19">
        <f t="shared" si="14"/>
        <v>1312285</v>
      </c>
      <c r="X287" s="19">
        <f>'FPC wSEB'!X287-SEB!Q287</f>
        <v>1157088</v>
      </c>
      <c r="Y287" s="19">
        <f>'FPC wSEB'!Y287-SEB!R287</f>
        <v>133892</v>
      </c>
      <c r="Z287" s="19">
        <f>'FPC wSEB'!Z287-SEB!S287</f>
        <v>2688</v>
      </c>
      <c r="AA287" s="19">
        <f>'FPC wSEB'!AA287-SEB!T287</f>
        <v>2120</v>
      </c>
      <c r="AB287" s="19">
        <f>'FPC wSEB'!AB287-SEB!U287</f>
        <v>16480</v>
      </c>
      <c r="AC287" s="19">
        <f>'FPC wSEB'!AC287</f>
        <v>2</v>
      </c>
      <c r="AD287" s="19">
        <f>'FPC wSEB'!AD287</f>
        <v>15</v>
      </c>
    </row>
    <row r="288" spans="1:30">
      <c r="A288" s="2">
        <v>1998</v>
      </c>
      <c r="B288" s="2">
        <v>7</v>
      </c>
      <c r="C288" s="19">
        <f t="shared" si="13"/>
        <v>3553602</v>
      </c>
      <c r="D288" s="19">
        <f>'FPC wSEB'!D288-SEB!D288</f>
        <v>1781720</v>
      </c>
      <c r="E288" s="19">
        <f>'FPC wSEB'!E288-SEB!E288</f>
        <v>944085</v>
      </c>
      <c r="F288" s="19">
        <f>'FPC wSEB'!F288-SEB!F288</f>
        <v>362857</v>
      </c>
      <c r="G288" s="19">
        <f>'FPC wSEB'!G288-SEB!G288</f>
        <v>129929</v>
      </c>
      <c r="H288" s="19">
        <f>'FPC wSEB'!H288-SEB!H288</f>
        <v>232928</v>
      </c>
      <c r="I288" s="19">
        <f>'FPC wSEB'!I288-SEB!I288</f>
        <v>2229</v>
      </c>
      <c r="J288" s="19">
        <f>'FPC wSEB'!J288-SEB!J288</f>
        <v>214542</v>
      </c>
      <c r="K288" s="19">
        <f>'FPC wSEB'!K288</f>
        <v>121119</v>
      </c>
      <c r="L288" s="19">
        <f>'FPC wSEB'!L288</f>
        <v>127050</v>
      </c>
      <c r="U288" s="2">
        <v>1998</v>
      </c>
      <c r="V288" s="2">
        <v>7</v>
      </c>
      <c r="W288" s="19">
        <f t="shared" si="14"/>
        <v>1305066</v>
      </c>
      <c r="X288" s="19">
        <f>'FPC wSEB'!X288-SEB!Q288</f>
        <v>1150036</v>
      </c>
      <c r="Y288" s="19">
        <f>'FPC wSEB'!Y288-SEB!R288</f>
        <v>133715</v>
      </c>
      <c r="Z288" s="19">
        <f>'FPC wSEB'!Z288-SEB!S288</f>
        <v>2663</v>
      </c>
      <c r="AA288" s="19">
        <f>'FPC wSEB'!AA288-SEB!T288</f>
        <v>2107</v>
      </c>
      <c r="AB288" s="19">
        <f>'FPC wSEB'!AB288-SEB!U288</f>
        <v>16527</v>
      </c>
      <c r="AC288" s="19">
        <f>'FPC wSEB'!AC288</f>
        <v>3</v>
      </c>
      <c r="AD288" s="19">
        <f>'FPC wSEB'!AD288</f>
        <v>15</v>
      </c>
    </row>
    <row r="289" spans="1:30">
      <c r="A289" s="2">
        <v>1998</v>
      </c>
      <c r="B289" s="2">
        <v>8</v>
      </c>
      <c r="C289" s="19">
        <f t="shared" si="13"/>
        <v>3806838</v>
      </c>
      <c r="D289" s="19">
        <f>'FPC wSEB'!D289-SEB!D289</f>
        <v>1791587</v>
      </c>
      <c r="E289" s="19">
        <f>'FPC wSEB'!E289-SEB!E289</f>
        <v>998167</v>
      </c>
      <c r="F289" s="19">
        <f>'FPC wSEB'!F289-SEB!F289</f>
        <v>388958</v>
      </c>
      <c r="G289" s="19">
        <f>'FPC wSEB'!G289-SEB!G289</f>
        <v>138918</v>
      </c>
      <c r="H289" s="20">
        <f>'FPC wSEB'!H289-SEB!H289</f>
        <v>250040</v>
      </c>
      <c r="I289" s="19">
        <f>'FPC wSEB'!I289-SEB!I289</f>
        <v>2190</v>
      </c>
      <c r="J289" s="19">
        <f>'FPC wSEB'!J289-SEB!J289</f>
        <v>227664</v>
      </c>
      <c r="K289" s="19">
        <f>'FPC wSEB'!K289</f>
        <v>233985</v>
      </c>
      <c r="L289" s="19">
        <f>'FPC wSEB'!L289</f>
        <v>164287</v>
      </c>
      <c r="U289" s="2">
        <v>1998</v>
      </c>
      <c r="V289" s="2">
        <v>8</v>
      </c>
      <c r="W289" s="19">
        <f t="shared" si="14"/>
        <v>1355416</v>
      </c>
      <c r="X289" s="19">
        <f>'FPC wSEB'!X289-SEB!Q289</f>
        <v>1194497</v>
      </c>
      <c r="Y289" s="19">
        <f>'FPC wSEB'!Y289-SEB!R289</f>
        <v>138949</v>
      </c>
      <c r="Z289" s="19">
        <f>'FPC wSEB'!Z289-SEB!S289</f>
        <v>2718</v>
      </c>
      <c r="AA289" s="19">
        <f>'FPC wSEB'!AA289-SEB!T289</f>
        <v>2083</v>
      </c>
      <c r="AB289" s="19">
        <f>'FPC wSEB'!AB289-SEB!U289</f>
        <v>17148</v>
      </c>
      <c r="AC289" s="19">
        <f>'FPC wSEB'!AC289</f>
        <v>3</v>
      </c>
      <c r="AD289" s="19">
        <f>'FPC wSEB'!AD289</f>
        <v>18</v>
      </c>
    </row>
    <row r="290" spans="1:30">
      <c r="A290" s="2">
        <v>1998</v>
      </c>
      <c r="B290" s="2">
        <v>9</v>
      </c>
      <c r="C290" s="19">
        <f t="shared" si="13"/>
        <v>3520500</v>
      </c>
      <c r="D290" s="19">
        <f>'FPC wSEB'!D290-SEB!D290</f>
        <v>1654135</v>
      </c>
      <c r="E290" s="19">
        <f>'FPC wSEB'!E290-SEB!E290</f>
        <v>914732</v>
      </c>
      <c r="F290" s="19">
        <f>'FPC wSEB'!F290-SEB!F290</f>
        <v>377472</v>
      </c>
      <c r="G290" s="19">
        <f>'FPC wSEB'!G290-SEB!G290</f>
        <v>129702</v>
      </c>
      <c r="H290" s="20">
        <f>'FPC wSEB'!H290-SEB!H290</f>
        <v>247770</v>
      </c>
      <c r="I290" s="19">
        <f>'FPC wSEB'!I290-SEB!I290</f>
        <v>2188</v>
      </c>
      <c r="J290" s="19">
        <f>'FPC wSEB'!J290-SEB!J290</f>
        <v>228888</v>
      </c>
      <c r="K290" s="19">
        <f>'FPC wSEB'!K290</f>
        <v>208280</v>
      </c>
      <c r="L290" s="19">
        <f>'FPC wSEB'!L290</f>
        <v>134805</v>
      </c>
      <c r="U290" s="2">
        <v>1998</v>
      </c>
      <c r="V290" s="2">
        <v>9</v>
      </c>
      <c r="W290" s="19">
        <f t="shared" si="14"/>
        <v>1277174</v>
      </c>
      <c r="X290" s="19">
        <f>'FPC wSEB'!X290-SEB!Q290</f>
        <v>1125929</v>
      </c>
      <c r="Y290" s="19">
        <f>'FPC wSEB'!Y290-SEB!R290</f>
        <v>130225</v>
      </c>
      <c r="Z290" s="19">
        <f>'FPC wSEB'!Z290-SEB!S290</f>
        <v>2629</v>
      </c>
      <c r="AA290" s="19">
        <f>'FPC wSEB'!AA290-SEB!T290</f>
        <v>2075</v>
      </c>
      <c r="AB290" s="19">
        <f>'FPC wSEB'!AB290-SEB!U290</f>
        <v>16297</v>
      </c>
      <c r="AC290" s="19">
        <f>'FPC wSEB'!AC290</f>
        <v>3</v>
      </c>
      <c r="AD290" s="19">
        <f>'FPC wSEB'!AD290</f>
        <v>16</v>
      </c>
    </row>
    <row r="291" spans="1:30">
      <c r="A291" s="2">
        <v>1998</v>
      </c>
      <c r="B291" s="2">
        <v>10</v>
      </c>
      <c r="C291" s="19">
        <f t="shared" si="13"/>
        <v>3382547</v>
      </c>
      <c r="D291" s="19">
        <f>'FPC wSEB'!D291-SEB!D291</f>
        <v>1555751</v>
      </c>
      <c r="E291" s="19">
        <f>'FPC wSEB'!E291-SEB!E291</f>
        <v>929151</v>
      </c>
      <c r="F291" s="19">
        <f>'FPC wSEB'!F291-SEB!F291</f>
        <v>356159</v>
      </c>
      <c r="G291" s="19">
        <f>'FPC wSEB'!G291-SEB!G291</f>
        <v>134039</v>
      </c>
      <c r="H291" s="20">
        <f>'FPC wSEB'!H291-SEB!H291</f>
        <v>222120</v>
      </c>
      <c r="I291" s="19">
        <f>'FPC wSEB'!I291-SEB!I291</f>
        <v>2191</v>
      </c>
      <c r="J291" s="19">
        <f>'FPC wSEB'!J291-SEB!J291</f>
        <v>235332</v>
      </c>
      <c r="K291" s="19">
        <f>'FPC wSEB'!K291</f>
        <v>190865</v>
      </c>
      <c r="L291" s="19">
        <f>'FPC wSEB'!L291</f>
        <v>113098</v>
      </c>
      <c r="U291" s="2">
        <v>1998</v>
      </c>
      <c r="V291" s="2">
        <v>10</v>
      </c>
      <c r="W291" s="19">
        <f t="shared" ref="W291:W296" si="15">SUM(X291:AD291)</f>
        <v>1364977</v>
      </c>
      <c r="X291" s="19">
        <f>'FPC wSEB'!X291-SEB!Q291</f>
        <v>1202807</v>
      </c>
      <c r="Y291" s="19">
        <f>'FPC wSEB'!Y291-SEB!R291</f>
        <v>139924</v>
      </c>
      <c r="Z291" s="19">
        <f>'FPC wSEB'!Z291-SEB!S291</f>
        <v>2754</v>
      </c>
      <c r="AA291" s="19">
        <f>'FPC wSEB'!AA291-SEB!T291</f>
        <v>2072</v>
      </c>
      <c r="AB291" s="19">
        <f>'FPC wSEB'!AB291-SEB!U291</f>
        <v>17401</v>
      </c>
      <c r="AC291" s="19">
        <f>'FPC wSEB'!AC291</f>
        <v>3</v>
      </c>
      <c r="AD291" s="19">
        <f>'FPC wSEB'!AD291</f>
        <v>16</v>
      </c>
    </row>
    <row r="292" spans="1:30">
      <c r="A292" s="2">
        <v>1998</v>
      </c>
      <c r="B292" s="2">
        <v>11</v>
      </c>
      <c r="C292" s="19">
        <f t="shared" si="13"/>
        <v>2788988</v>
      </c>
      <c r="D292" s="19">
        <f>'FPC wSEB'!D292-SEB!D292</f>
        <v>1149432</v>
      </c>
      <c r="E292" s="19">
        <f>'FPC wSEB'!E292-SEB!E292</f>
        <v>829080</v>
      </c>
      <c r="F292" s="19">
        <f>'FPC wSEB'!F292-SEB!F292</f>
        <v>386821</v>
      </c>
      <c r="G292" s="19">
        <f>'FPC wSEB'!G292-SEB!G292</f>
        <v>132082</v>
      </c>
      <c r="H292" s="20">
        <f>'FPC wSEB'!H292-SEB!H292</f>
        <v>254739</v>
      </c>
      <c r="I292" s="19">
        <f>'FPC wSEB'!I292-SEB!I292</f>
        <v>2205</v>
      </c>
      <c r="J292" s="19">
        <f>'FPC wSEB'!J292-SEB!J292</f>
        <v>211409</v>
      </c>
      <c r="K292" s="19">
        <f>'FPC wSEB'!K292</f>
        <v>115024</v>
      </c>
      <c r="L292" s="19">
        <f>'FPC wSEB'!L292</f>
        <v>95017</v>
      </c>
      <c r="U292" s="2">
        <v>1998</v>
      </c>
      <c r="V292" s="2">
        <v>11</v>
      </c>
      <c r="W292" s="19">
        <f t="shared" si="15"/>
        <v>1347065</v>
      </c>
      <c r="X292" s="19">
        <f>'FPC wSEB'!X292-SEB!Q292</f>
        <v>1187427</v>
      </c>
      <c r="Y292" s="19">
        <f>'FPC wSEB'!Y292-SEB!R292</f>
        <v>137851</v>
      </c>
      <c r="Z292" s="19">
        <f>'FPC wSEB'!Z292-SEB!S292</f>
        <v>2680</v>
      </c>
      <c r="AA292" s="19">
        <f>'FPC wSEB'!AA292-SEB!T292</f>
        <v>2077</v>
      </c>
      <c r="AB292" s="19">
        <f>'FPC wSEB'!AB292-SEB!U292</f>
        <v>17013</v>
      </c>
      <c r="AC292" s="19">
        <f>'FPC wSEB'!AC292</f>
        <v>3</v>
      </c>
      <c r="AD292" s="19">
        <f>'FPC wSEB'!AD292</f>
        <v>14</v>
      </c>
    </row>
    <row r="293" spans="1:30">
      <c r="A293" s="2">
        <v>1998</v>
      </c>
      <c r="B293" s="2">
        <v>12</v>
      </c>
      <c r="C293" s="19">
        <f t="shared" si="13"/>
        <v>2687198</v>
      </c>
      <c r="D293" s="19">
        <f>'FPC wSEB'!D293-SEB!D293</f>
        <v>1120974</v>
      </c>
      <c r="E293" s="19">
        <f>'FPC wSEB'!E293-SEB!E293</f>
        <v>809824</v>
      </c>
      <c r="F293" s="19">
        <f>'FPC wSEB'!F293-SEB!F293</f>
        <v>399968</v>
      </c>
      <c r="G293" s="19">
        <f>'FPC wSEB'!G293-SEB!G293</f>
        <v>164234</v>
      </c>
      <c r="H293" s="20">
        <f>'FPC wSEB'!H293-SEB!H293</f>
        <v>235734</v>
      </c>
      <c r="I293" s="19">
        <f>'FPC wSEB'!I293-SEB!I293</f>
        <v>2205</v>
      </c>
      <c r="J293" s="19">
        <f>'FPC wSEB'!J293-SEB!J293</f>
        <v>207171</v>
      </c>
      <c r="K293" s="19">
        <f>'FPC wSEB'!K293</f>
        <v>77233</v>
      </c>
      <c r="L293" s="19">
        <f>'FPC wSEB'!L293</f>
        <v>69823</v>
      </c>
      <c r="U293" s="2">
        <v>1998</v>
      </c>
      <c r="V293" s="2">
        <v>12</v>
      </c>
      <c r="W293" s="19">
        <f t="shared" si="15"/>
        <v>1336223</v>
      </c>
      <c r="X293" s="19">
        <f>'FPC wSEB'!X293-SEB!Q293</f>
        <v>1179750</v>
      </c>
      <c r="Y293" s="19">
        <f>'FPC wSEB'!Y293-SEB!R293</f>
        <v>134957</v>
      </c>
      <c r="Z293" s="19">
        <f>'FPC wSEB'!Z293-SEB!S293</f>
        <v>2682</v>
      </c>
      <c r="AA293" s="19">
        <f>'FPC wSEB'!AA293-SEB!T293</f>
        <v>2066</v>
      </c>
      <c r="AB293" s="19">
        <f>'FPC wSEB'!AB293-SEB!U293</f>
        <v>16753</v>
      </c>
      <c r="AC293" s="19">
        <f>'FPC wSEB'!AC293</f>
        <v>2</v>
      </c>
      <c r="AD293" s="19">
        <f>'FPC wSEB'!AD293</f>
        <v>13</v>
      </c>
    </row>
    <row r="294" spans="1:30">
      <c r="A294" s="2">
        <v>1999</v>
      </c>
      <c r="B294" s="2">
        <v>1</v>
      </c>
      <c r="C294" s="19">
        <f t="shared" ref="C294:C299" si="16">SUM(D294:F294,I294:L294)</f>
        <v>2673274</v>
      </c>
      <c r="D294" s="19">
        <f>'FPC wSEB'!D294-SEB!D294</f>
        <v>1292139</v>
      </c>
      <c r="E294" s="19">
        <f>'FPC wSEB'!E294-SEB!E294</f>
        <v>754446</v>
      </c>
      <c r="F294" s="19">
        <f>'FPC wSEB'!F294-SEB!F294</f>
        <v>343235</v>
      </c>
      <c r="G294" s="19">
        <f>'FPC wSEB'!G294-SEB!G294</f>
        <v>113216</v>
      </c>
      <c r="H294" s="20">
        <f>'FPC wSEB'!H294-SEB!H294</f>
        <v>230019</v>
      </c>
      <c r="I294" s="19">
        <f>'FPC wSEB'!I294-SEB!I294</f>
        <v>2206</v>
      </c>
      <c r="J294" s="19">
        <f>'FPC wSEB'!J294-SEB!J294</f>
        <v>186672</v>
      </c>
      <c r="K294" s="19">
        <f>'FPC wSEB'!K294</f>
        <v>14750</v>
      </c>
      <c r="L294" s="19">
        <f>'FPC wSEB'!L294</f>
        <v>79826</v>
      </c>
      <c r="U294" s="2">
        <v>1999</v>
      </c>
      <c r="V294" s="2">
        <v>1</v>
      </c>
      <c r="W294" s="19">
        <f t="shared" si="15"/>
        <v>1352342</v>
      </c>
      <c r="X294" s="19">
        <f>'FPC wSEB'!X294-SEB!Q294</f>
        <v>1194212</v>
      </c>
      <c r="Y294" s="19">
        <f>'FPC wSEB'!Y294-SEB!R294</f>
        <v>136408</v>
      </c>
      <c r="Z294" s="19">
        <f>'FPC wSEB'!Z294-SEB!S294</f>
        <v>2646</v>
      </c>
      <c r="AA294" s="19">
        <f>'FPC wSEB'!AA294-SEB!T294</f>
        <v>2054</v>
      </c>
      <c r="AB294" s="19">
        <f>'FPC wSEB'!AB294-SEB!U294</f>
        <v>17007</v>
      </c>
      <c r="AC294" s="19">
        <f>'FPC wSEB'!AC294</f>
        <v>2</v>
      </c>
      <c r="AD294" s="19">
        <f>'FPC wSEB'!AD294</f>
        <v>13</v>
      </c>
    </row>
    <row r="295" spans="1:30">
      <c r="A295" s="2">
        <v>1999</v>
      </c>
      <c r="B295" s="2">
        <v>2</v>
      </c>
      <c r="C295" s="19">
        <f t="shared" si="16"/>
        <v>2354669</v>
      </c>
      <c r="D295" s="19">
        <f>'FPC wSEB'!D295-SEB!D295</f>
        <v>1022174</v>
      </c>
      <c r="E295" s="19">
        <f>'FPC wSEB'!E295-SEB!E295</f>
        <v>708581</v>
      </c>
      <c r="F295" s="19">
        <f>'FPC wSEB'!F295-SEB!F295</f>
        <v>343769</v>
      </c>
      <c r="G295" s="19">
        <f>'FPC wSEB'!G295-SEB!G295</f>
        <v>119310</v>
      </c>
      <c r="H295" s="20">
        <f>'FPC wSEB'!H295-SEB!H295</f>
        <v>224459</v>
      </c>
      <c r="I295" s="19">
        <f>'FPC wSEB'!I295-SEB!I295</f>
        <v>2208</v>
      </c>
      <c r="J295" s="19">
        <f>'FPC wSEB'!J295-SEB!J295</f>
        <v>178657</v>
      </c>
      <c r="K295" s="19">
        <f>'FPC wSEB'!K295</f>
        <v>34344</v>
      </c>
      <c r="L295" s="19">
        <f>'FPC wSEB'!L295</f>
        <v>64936</v>
      </c>
      <c r="U295" s="2">
        <v>1999</v>
      </c>
      <c r="V295" s="2">
        <v>2</v>
      </c>
      <c r="W295" s="19">
        <f t="shared" si="15"/>
        <v>1361529</v>
      </c>
      <c r="X295" s="19">
        <f>'FPC wSEB'!X295-SEB!Q295</f>
        <v>1202411</v>
      </c>
      <c r="Y295" s="19">
        <f>'FPC wSEB'!Y295-SEB!R295</f>
        <v>137335</v>
      </c>
      <c r="Z295" s="19">
        <f>'FPC wSEB'!Z295-SEB!S295</f>
        <v>2653</v>
      </c>
      <c r="AA295" s="19">
        <f>'FPC wSEB'!AA295-SEB!T295</f>
        <v>2059</v>
      </c>
      <c r="AB295" s="19">
        <f>'FPC wSEB'!AB295-SEB!U295</f>
        <v>17056</v>
      </c>
      <c r="AC295" s="19">
        <f>'FPC wSEB'!AC295</f>
        <v>2</v>
      </c>
      <c r="AD295" s="19">
        <f>'FPC wSEB'!AD295</f>
        <v>13</v>
      </c>
    </row>
    <row r="296" spans="1:30">
      <c r="A296" s="2">
        <v>1999</v>
      </c>
      <c r="B296" s="2">
        <v>3</v>
      </c>
      <c r="C296" s="19">
        <f t="shared" si="16"/>
        <v>2550805</v>
      </c>
      <c r="D296" s="19">
        <f>'FPC wSEB'!D296-SEB!D296</f>
        <v>1078937</v>
      </c>
      <c r="E296" s="19">
        <f>'FPC wSEB'!E296-SEB!E296</f>
        <v>696453</v>
      </c>
      <c r="F296" s="19">
        <f>'FPC wSEB'!F296-SEB!F296</f>
        <v>340557</v>
      </c>
      <c r="G296" s="19">
        <f>'FPC wSEB'!G296-SEB!G296</f>
        <v>117301</v>
      </c>
      <c r="H296" s="20">
        <f>'FPC wSEB'!H296-SEB!H296</f>
        <v>223256</v>
      </c>
      <c r="I296" s="19">
        <f>'FPC wSEB'!I296-SEB!I296</f>
        <v>2217</v>
      </c>
      <c r="J296" s="19">
        <f>'FPC wSEB'!J296-SEB!J296</f>
        <v>183585</v>
      </c>
      <c r="K296" s="19">
        <f>'FPC wSEB'!K296</f>
        <v>186289</v>
      </c>
      <c r="L296" s="19">
        <f>'FPC wSEB'!L296</f>
        <v>62767</v>
      </c>
      <c r="U296" s="2">
        <v>1999</v>
      </c>
      <c r="V296" s="2">
        <v>3</v>
      </c>
      <c r="W296" s="19">
        <f t="shared" si="15"/>
        <v>1350475</v>
      </c>
      <c r="X296" s="19">
        <f>'FPC wSEB'!X296-SEB!Q296</f>
        <v>1192491</v>
      </c>
      <c r="Y296" s="19">
        <f>'FPC wSEB'!Y296-SEB!R296</f>
        <v>136326</v>
      </c>
      <c r="Z296" s="19">
        <f>'FPC wSEB'!Z296-SEB!S296</f>
        <v>2628</v>
      </c>
      <c r="AA296" s="19">
        <f>'FPC wSEB'!AA296-SEB!T296</f>
        <v>2061</v>
      </c>
      <c r="AB296" s="19">
        <f>'FPC wSEB'!AB296-SEB!U296</f>
        <v>16952</v>
      </c>
      <c r="AC296" s="19">
        <f>'FPC wSEB'!AC296</f>
        <v>4</v>
      </c>
      <c r="AD296" s="19">
        <f>'FPC wSEB'!AD296</f>
        <v>13</v>
      </c>
    </row>
    <row r="297" spans="1:30">
      <c r="A297" s="2">
        <v>1999</v>
      </c>
      <c r="B297" s="2">
        <v>4</v>
      </c>
      <c r="C297" s="19">
        <f t="shared" si="16"/>
        <v>2614420</v>
      </c>
      <c r="D297" s="19">
        <f>'FPC wSEB'!D297-SEB!D297</f>
        <v>1102145</v>
      </c>
      <c r="E297" s="19">
        <f>'FPC wSEB'!E297-SEB!E297</f>
        <v>801927</v>
      </c>
      <c r="F297" s="19">
        <f>'FPC wSEB'!F297-SEB!F297</f>
        <v>378028</v>
      </c>
      <c r="G297" s="19">
        <f>'FPC wSEB'!G297-SEB!G297</f>
        <v>133909</v>
      </c>
      <c r="H297" s="20">
        <f>'FPC wSEB'!H297-SEB!H297</f>
        <v>244119</v>
      </c>
      <c r="I297" s="19">
        <f>'FPC wSEB'!I297-SEB!I297</f>
        <v>2188</v>
      </c>
      <c r="J297" s="19">
        <f>'FPC wSEB'!J297-SEB!J297</f>
        <v>190880</v>
      </c>
      <c r="K297" s="19">
        <f>'FPC wSEB'!K297</f>
        <v>86096</v>
      </c>
      <c r="L297" s="19">
        <f>'FPC wSEB'!L297</f>
        <v>53156</v>
      </c>
      <c r="U297" s="2">
        <v>1999</v>
      </c>
      <c r="V297" s="2">
        <v>4</v>
      </c>
      <c r="W297" s="19">
        <f t="shared" ref="W297:W302" si="17">SUM(X297:AD297)</f>
        <v>1355309</v>
      </c>
      <c r="X297" s="19">
        <f>'FPC wSEB'!X297-SEB!Q297</f>
        <v>1195077</v>
      </c>
      <c r="Y297" s="19">
        <f>'FPC wSEB'!Y297-SEB!R297</f>
        <v>138442</v>
      </c>
      <c r="Z297" s="19">
        <f>'FPC wSEB'!Z297-SEB!S297</f>
        <v>2636</v>
      </c>
      <c r="AA297" s="19">
        <f>'FPC wSEB'!AA297-SEB!T297</f>
        <v>2056</v>
      </c>
      <c r="AB297" s="19">
        <f>'FPC wSEB'!AB297-SEB!U297</f>
        <v>17082</v>
      </c>
      <c r="AC297" s="19">
        <f>'FPC wSEB'!AC297</f>
        <v>3</v>
      </c>
      <c r="AD297" s="19">
        <f>'FPC wSEB'!AD297</f>
        <v>13</v>
      </c>
    </row>
    <row r="298" spans="1:30">
      <c r="A298" s="2">
        <v>1999</v>
      </c>
      <c r="B298" s="2">
        <v>5</v>
      </c>
      <c r="C298" s="19">
        <f t="shared" si="16"/>
        <v>2683172</v>
      </c>
      <c r="D298" s="19">
        <f>'FPC wSEB'!D298-SEB!D298</f>
        <v>1214957</v>
      </c>
      <c r="E298" s="19">
        <f>'FPC wSEB'!E298-SEB!E298</f>
        <v>835268</v>
      </c>
      <c r="F298" s="19">
        <f>'FPC wSEB'!F298-SEB!F298</f>
        <v>353907</v>
      </c>
      <c r="G298" s="19">
        <f>'FPC wSEB'!G298-SEB!G298</f>
        <v>118115</v>
      </c>
      <c r="H298" s="20">
        <f>'FPC wSEB'!H298-SEB!H298</f>
        <v>235792</v>
      </c>
      <c r="I298" s="19">
        <f>'FPC wSEB'!I298-SEB!I298</f>
        <v>2201</v>
      </c>
      <c r="J298" s="19">
        <f>'FPC wSEB'!J298-SEB!J298</f>
        <v>208088</v>
      </c>
      <c r="K298" s="19">
        <f>'FPC wSEB'!K298</f>
        <v>1084</v>
      </c>
      <c r="L298" s="19">
        <f>'FPC wSEB'!L298</f>
        <v>67667</v>
      </c>
      <c r="U298" s="2">
        <v>1999</v>
      </c>
      <c r="V298" s="2">
        <v>5</v>
      </c>
      <c r="W298" s="19">
        <f t="shared" si="17"/>
        <v>1377761</v>
      </c>
      <c r="X298" s="19">
        <f>'FPC wSEB'!X298-SEB!Q298</f>
        <v>1213733</v>
      </c>
      <c r="Y298" s="19">
        <f>'FPC wSEB'!Y298-SEB!R298</f>
        <v>141692</v>
      </c>
      <c r="Z298" s="19">
        <f>'FPC wSEB'!Z298-SEB!S298</f>
        <v>2679</v>
      </c>
      <c r="AA298" s="19">
        <f>'FPC wSEB'!AA298-SEB!T298</f>
        <v>2059</v>
      </c>
      <c r="AB298" s="19">
        <f>'FPC wSEB'!AB298-SEB!U298</f>
        <v>17583</v>
      </c>
      <c r="AC298" s="19">
        <f>'FPC wSEB'!AC298</f>
        <v>2</v>
      </c>
      <c r="AD298" s="19">
        <f>'FPC wSEB'!AD298</f>
        <v>13</v>
      </c>
    </row>
    <row r="299" spans="1:30">
      <c r="A299" s="2">
        <v>1999</v>
      </c>
      <c r="B299" s="2">
        <v>6</v>
      </c>
      <c r="C299" s="19">
        <f t="shared" si="16"/>
        <v>3336837</v>
      </c>
      <c r="D299" s="19">
        <f>'FPC wSEB'!D299-SEB!D299</f>
        <v>1438751</v>
      </c>
      <c r="E299" s="19">
        <f>'FPC wSEB'!E299-SEB!E299</f>
        <v>887267</v>
      </c>
      <c r="F299" s="19">
        <f>'FPC wSEB'!F299-SEB!F299</f>
        <v>350502</v>
      </c>
      <c r="G299" s="19">
        <f>'FPC wSEB'!G299-SEB!G299</f>
        <v>114636</v>
      </c>
      <c r="H299" s="20">
        <f>'FPC wSEB'!H299-SEB!H299</f>
        <v>235866</v>
      </c>
      <c r="I299" s="19">
        <f>'FPC wSEB'!I299-SEB!I299</f>
        <v>2187</v>
      </c>
      <c r="J299" s="19">
        <f>'FPC wSEB'!J299-SEB!J299</f>
        <v>208466</v>
      </c>
      <c r="K299" s="19">
        <f>'FPC wSEB'!K299</f>
        <v>345007</v>
      </c>
      <c r="L299" s="19">
        <f>'FPC wSEB'!L299</f>
        <v>104657</v>
      </c>
      <c r="U299" s="2">
        <v>1999</v>
      </c>
      <c r="V299" s="2">
        <v>6</v>
      </c>
      <c r="W299" s="19">
        <f t="shared" si="17"/>
        <v>1323214</v>
      </c>
      <c r="X299" s="19">
        <f>'FPC wSEB'!X299-SEB!Q299</f>
        <v>1166456</v>
      </c>
      <c r="Y299" s="19">
        <f>'FPC wSEB'!Y299-SEB!R299</f>
        <v>135300</v>
      </c>
      <c r="Z299" s="19">
        <f>'FPC wSEB'!Z299-SEB!S299</f>
        <v>2562</v>
      </c>
      <c r="AA299" s="19">
        <f>'FPC wSEB'!AA299-SEB!T299</f>
        <v>2064</v>
      </c>
      <c r="AB299" s="19">
        <f>'FPC wSEB'!AB299-SEB!U299</f>
        <v>16814</v>
      </c>
      <c r="AC299" s="19">
        <f>'FPC wSEB'!AC299</f>
        <v>5</v>
      </c>
      <c r="AD299" s="19">
        <f>'FPC wSEB'!AD299</f>
        <v>13</v>
      </c>
    </row>
    <row r="300" spans="1:30">
      <c r="A300" s="2">
        <v>1999</v>
      </c>
      <c r="B300" s="2">
        <v>7</v>
      </c>
      <c r="C300" s="19">
        <f t="shared" ref="C300:C305" si="18">SUM(D300:F300,I300:L300)</f>
        <v>3444607</v>
      </c>
      <c r="D300" s="19">
        <f>'FPC wSEB'!D300-SEB!D300</f>
        <v>1606156</v>
      </c>
      <c r="E300" s="19">
        <f>'FPC wSEB'!E300-SEB!E300</f>
        <v>958464</v>
      </c>
      <c r="F300" s="19">
        <f>'FPC wSEB'!F300-SEB!F300</f>
        <v>376066</v>
      </c>
      <c r="G300" s="19">
        <f>'FPC wSEB'!G300-SEB!G300</f>
        <v>131518</v>
      </c>
      <c r="H300" s="20">
        <f>'FPC wSEB'!H300-SEB!H300</f>
        <v>244548</v>
      </c>
      <c r="I300" s="19">
        <f>'FPC wSEB'!I300-SEB!I300</f>
        <v>2212</v>
      </c>
      <c r="J300" s="19">
        <f>'FPC wSEB'!J300-SEB!J300</f>
        <v>212131</v>
      </c>
      <c r="K300" s="19">
        <f>'FPC wSEB'!K300</f>
        <v>174558</v>
      </c>
      <c r="L300" s="19">
        <f>'FPC wSEB'!L300</f>
        <v>115020</v>
      </c>
      <c r="U300" s="2">
        <v>1999</v>
      </c>
      <c r="V300" s="2">
        <v>7</v>
      </c>
      <c r="W300" s="19">
        <f t="shared" si="17"/>
        <v>1342381</v>
      </c>
      <c r="X300" s="19">
        <f>'FPC wSEB'!X300-SEB!Q300</f>
        <v>1182374</v>
      </c>
      <c r="Y300" s="19">
        <f>'FPC wSEB'!Y300-SEB!R300</f>
        <v>138189</v>
      </c>
      <c r="Z300" s="19">
        <f>'FPC wSEB'!Z300-SEB!S300</f>
        <v>2594</v>
      </c>
      <c r="AA300" s="19">
        <f>'FPC wSEB'!AA300-SEB!T300</f>
        <v>2071</v>
      </c>
      <c r="AB300" s="19">
        <f>'FPC wSEB'!AB300-SEB!U300</f>
        <v>17134</v>
      </c>
      <c r="AC300" s="19">
        <f>'FPC wSEB'!AC300</f>
        <v>3</v>
      </c>
      <c r="AD300" s="19">
        <f>'FPC wSEB'!AD300</f>
        <v>16</v>
      </c>
    </row>
    <row r="301" spans="1:30">
      <c r="A301" s="2">
        <v>1999</v>
      </c>
      <c r="B301" s="2">
        <v>8</v>
      </c>
      <c r="C301" s="19">
        <f t="shared" si="18"/>
        <v>3968280</v>
      </c>
      <c r="D301" s="19">
        <f>'FPC wSEB'!D301-SEB!D301</f>
        <v>1913037</v>
      </c>
      <c r="E301" s="19">
        <f>'FPC wSEB'!E301-SEB!E301</f>
        <v>1048306</v>
      </c>
      <c r="F301" s="19">
        <f>'FPC wSEB'!F301-SEB!F301</f>
        <v>391562</v>
      </c>
      <c r="G301" s="19">
        <f>'FPC wSEB'!G301-SEB!G301</f>
        <v>133500</v>
      </c>
      <c r="H301" s="20">
        <f>'FPC wSEB'!H301-SEB!H301</f>
        <v>258062</v>
      </c>
      <c r="I301" s="19">
        <f>'FPC wSEB'!I301-SEB!I301</f>
        <v>2215</v>
      </c>
      <c r="J301" s="19">
        <f>'FPC wSEB'!J301-SEB!J301</f>
        <v>235772</v>
      </c>
      <c r="K301" s="19">
        <f>'FPC wSEB'!K301</f>
        <v>228011</v>
      </c>
      <c r="L301" s="19">
        <f>'FPC wSEB'!L301</f>
        <v>149377</v>
      </c>
      <c r="U301" s="2">
        <v>1999</v>
      </c>
      <c r="V301" s="2">
        <v>8</v>
      </c>
      <c r="W301" s="19">
        <f t="shared" si="17"/>
        <v>1364599</v>
      </c>
      <c r="X301" s="19">
        <f>'FPC wSEB'!X301-SEB!Q301</f>
        <v>1201473</v>
      </c>
      <c r="Y301" s="19">
        <f>'FPC wSEB'!Y301-SEB!R301</f>
        <v>140989</v>
      </c>
      <c r="Z301" s="19">
        <f>'FPC wSEB'!Z301-SEB!S301</f>
        <v>2629</v>
      </c>
      <c r="AA301" s="19">
        <f>'FPC wSEB'!AA301-SEB!T301</f>
        <v>2070</v>
      </c>
      <c r="AB301" s="19">
        <f>'FPC wSEB'!AB301-SEB!U301</f>
        <v>17421</v>
      </c>
      <c r="AC301" s="19">
        <f>'FPC wSEB'!AC301</f>
        <v>3</v>
      </c>
      <c r="AD301" s="19">
        <f>'FPC wSEB'!AD301</f>
        <v>14</v>
      </c>
    </row>
    <row r="302" spans="1:30">
      <c r="A302" s="2">
        <v>1999</v>
      </c>
      <c r="B302" s="2">
        <v>9</v>
      </c>
      <c r="C302" s="19">
        <f t="shared" si="18"/>
        <v>3838350</v>
      </c>
      <c r="D302" s="19">
        <f>'FPC wSEB'!D302-SEB!D302</f>
        <v>1780635</v>
      </c>
      <c r="E302" s="19">
        <f>'FPC wSEB'!E302-SEB!E302</f>
        <v>1015329</v>
      </c>
      <c r="F302" s="19">
        <f>'FPC wSEB'!F302-SEB!F302</f>
        <v>373372</v>
      </c>
      <c r="G302" s="19">
        <f>'FPC wSEB'!G302-SEB!G302</f>
        <v>131213</v>
      </c>
      <c r="H302" s="20">
        <f>'FPC wSEB'!H302-SEB!H302</f>
        <v>242159</v>
      </c>
      <c r="I302" s="19">
        <f>'FPC wSEB'!I302-SEB!I302</f>
        <v>2203</v>
      </c>
      <c r="J302" s="19">
        <f>'FPC wSEB'!J302-SEB!J302</f>
        <v>245174</v>
      </c>
      <c r="K302" s="19">
        <f>'FPC wSEB'!K302</f>
        <v>234000</v>
      </c>
      <c r="L302" s="19">
        <f>'FPC wSEB'!L302</f>
        <v>187637</v>
      </c>
      <c r="U302" s="2">
        <v>1999</v>
      </c>
      <c r="V302" s="2">
        <v>9</v>
      </c>
      <c r="W302" s="19">
        <f t="shared" si="17"/>
        <v>1360276</v>
      </c>
      <c r="X302" s="19">
        <f>'FPC wSEB'!X302-SEB!Q302</f>
        <v>1198091</v>
      </c>
      <c r="Y302" s="19">
        <f>'FPC wSEB'!Y302-SEB!R302</f>
        <v>140164</v>
      </c>
      <c r="Z302" s="19">
        <f>'FPC wSEB'!Z302-SEB!S302</f>
        <v>2593</v>
      </c>
      <c r="AA302" s="19">
        <f>'FPC wSEB'!AA302-SEB!T302</f>
        <v>2064</v>
      </c>
      <c r="AB302" s="19">
        <f>'FPC wSEB'!AB302-SEB!U302</f>
        <v>17343</v>
      </c>
      <c r="AC302" s="19">
        <f>'FPC wSEB'!AC302</f>
        <v>4</v>
      </c>
      <c r="AD302" s="19">
        <f>'FPC wSEB'!AD302</f>
        <v>17</v>
      </c>
    </row>
    <row r="303" spans="1:30">
      <c r="A303" s="2">
        <v>1999</v>
      </c>
      <c r="B303" s="2">
        <v>10</v>
      </c>
      <c r="C303" s="19">
        <f t="shared" si="18"/>
        <v>3393097</v>
      </c>
      <c r="D303" s="19">
        <f>'FPC wSEB'!D303-SEB!D303</f>
        <v>1456359</v>
      </c>
      <c r="E303" s="19">
        <f>'FPC wSEB'!E303-SEB!E303</f>
        <v>910751</v>
      </c>
      <c r="F303" s="19">
        <f>'FPC wSEB'!F303-SEB!F303</f>
        <v>363485</v>
      </c>
      <c r="G303" s="19">
        <f>'FPC wSEB'!G303-SEB!G303</f>
        <v>126692</v>
      </c>
      <c r="H303" s="20">
        <f>'FPC wSEB'!H303-SEB!H303</f>
        <v>236793</v>
      </c>
      <c r="I303" s="19">
        <f>'FPC wSEB'!I303-SEB!I303</f>
        <v>2202</v>
      </c>
      <c r="J303" s="19">
        <f>'FPC wSEB'!J303-SEB!J303</f>
        <v>229438</v>
      </c>
      <c r="K303" s="19">
        <f>'FPC wSEB'!K303</f>
        <v>288169</v>
      </c>
      <c r="L303" s="19">
        <f>'FPC wSEB'!L303</f>
        <v>142693</v>
      </c>
      <c r="U303" s="2">
        <v>1999</v>
      </c>
      <c r="V303" s="2">
        <v>10</v>
      </c>
      <c r="W303" s="19">
        <f t="shared" ref="W303:W308" si="19">SUM(X303:AD303)</f>
        <v>1353678</v>
      </c>
      <c r="X303" s="19">
        <f>'FPC wSEB'!X303-SEB!Q303</f>
        <v>1192049</v>
      </c>
      <c r="Y303" s="19">
        <f>'FPC wSEB'!Y303-SEB!R303</f>
        <v>139548</v>
      </c>
      <c r="Z303" s="19">
        <f>'FPC wSEB'!Z303-SEB!S303</f>
        <v>2605</v>
      </c>
      <c r="AA303" s="19">
        <f>'FPC wSEB'!AA303-SEB!T303</f>
        <v>2067</v>
      </c>
      <c r="AB303" s="19">
        <f>'FPC wSEB'!AB303-SEB!U303</f>
        <v>17391</v>
      </c>
      <c r="AC303" s="19">
        <f>'FPC wSEB'!AC303</f>
        <v>3</v>
      </c>
      <c r="AD303" s="19">
        <f>'FPC wSEB'!AD303</f>
        <v>15</v>
      </c>
    </row>
    <row r="304" spans="1:30">
      <c r="A304" s="2">
        <v>1999</v>
      </c>
      <c r="B304" s="2">
        <v>11</v>
      </c>
      <c r="C304" s="19">
        <f t="shared" si="18"/>
        <v>2956401</v>
      </c>
      <c r="D304" s="19">
        <f>'FPC wSEB'!D304-SEB!D304</f>
        <v>1135831</v>
      </c>
      <c r="E304" s="19">
        <f>'FPC wSEB'!E304-SEB!E304</f>
        <v>843413</v>
      </c>
      <c r="F304" s="19">
        <f>'FPC wSEB'!F304-SEB!F304</f>
        <v>376043</v>
      </c>
      <c r="G304" s="19">
        <f>'FPC wSEB'!G304-SEB!G304</f>
        <v>145983</v>
      </c>
      <c r="H304" s="20">
        <f>'FPC wSEB'!H304-SEB!H304</f>
        <v>230060</v>
      </c>
      <c r="I304" s="19">
        <f>'FPC wSEB'!I304-SEB!I304</f>
        <v>2213</v>
      </c>
      <c r="J304" s="19">
        <f>'FPC wSEB'!J304-SEB!J304</f>
        <v>214299</v>
      </c>
      <c r="K304" s="19">
        <f>'FPC wSEB'!K304</f>
        <v>252505</v>
      </c>
      <c r="L304" s="19">
        <f>'FPC wSEB'!L304</f>
        <v>132097</v>
      </c>
      <c r="U304" s="2">
        <v>1999</v>
      </c>
      <c r="V304" s="2">
        <v>11</v>
      </c>
      <c r="W304" s="19">
        <f t="shared" si="19"/>
        <v>1427169</v>
      </c>
      <c r="X304" s="19">
        <f>'FPC wSEB'!X304-SEB!Q304</f>
        <v>1258166</v>
      </c>
      <c r="Y304" s="19">
        <f>'FPC wSEB'!Y304-SEB!R304</f>
        <v>146294</v>
      </c>
      <c r="Z304" s="19">
        <f>'FPC wSEB'!Z304-SEB!S304</f>
        <v>2655</v>
      </c>
      <c r="AA304" s="19">
        <f>'FPC wSEB'!AA304-SEB!T304</f>
        <v>2053</v>
      </c>
      <c r="AB304" s="19">
        <f>'FPC wSEB'!AB304-SEB!U304</f>
        <v>17984</v>
      </c>
      <c r="AC304" s="19">
        <f>'FPC wSEB'!AC304</f>
        <v>3</v>
      </c>
      <c r="AD304" s="19">
        <f>'FPC wSEB'!AD304</f>
        <v>14</v>
      </c>
    </row>
    <row r="305" spans="1:30">
      <c r="A305" s="2">
        <v>1999</v>
      </c>
      <c r="B305" s="2">
        <v>12</v>
      </c>
      <c r="C305" s="19">
        <f t="shared" si="18"/>
        <v>2685985</v>
      </c>
      <c r="D305" s="19">
        <f>'FPC wSEB'!D305-SEB!D305</f>
        <v>1098656</v>
      </c>
      <c r="E305" s="19">
        <f>'FPC wSEB'!E305-SEB!E305</f>
        <v>782900</v>
      </c>
      <c r="F305" s="19">
        <f>'FPC wSEB'!F305-SEB!F305</f>
        <v>342782</v>
      </c>
      <c r="G305" s="19">
        <f>'FPC wSEB'!G305-SEB!G305</f>
        <v>108741</v>
      </c>
      <c r="H305" s="20">
        <f>'FPC wSEB'!H305-SEB!H305</f>
        <v>234041</v>
      </c>
      <c r="I305" s="19">
        <f>'FPC wSEB'!I305-SEB!I305</f>
        <v>2248</v>
      </c>
      <c r="J305" s="19">
        <f>'FPC wSEB'!J305-SEB!J305</f>
        <v>197339</v>
      </c>
      <c r="K305" s="19">
        <f>'FPC wSEB'!K305</f>
        <v>129676</v>
      </c>
      <c r="L305" s="19">
        <f>'FPC wSEB'!L305</f>
        <v>132384</v>
      </c>
      <c r="U305" s="2">
        <v>1999</v>
      </c>
      <c r="V305" s="2">
        <v>12</v>
      </c>
      <c r="W305" s="19">
        <f t="shared" si="19"/>
        <v>1399533</v>
      </c>
      <c r="X305" s="19">
        <f>'FPC wSEB'!X305-SEB!Q305</f>
        <v>1234460</v>
      </c>
      <c r="Y305" s="19">
        <f>'FPC wSEB'!Y305-SEB!R305</f>
        <v>142735</v>
      </c>
      <c r="Z305" s="19">
        <f>'FPC wSEB'!Z305-SEB!S305</f>
        <v>2635</v>
      </c>
      <c r="AA305" s="19">
        <f>'FPC wSEB'!AA305-SEB!T305</f>
        <v>2058</v>
      </c>
      <c r="AB305" s="19">
        <f>'FPC wSEB'!AB305-SEB!U305</f>
        <v>17621</v>
      </c>
      <c r="AC305" s="19">
        <f>'FPC wSEB'!AC305</f>
        <v>6</v>
      </c>
      <c r="AD305" s="19">
        <f>'FPC wSEB'!AD305</f>
        <v>18</v>
      </c>
    </row>
    <row r="306" spans="1:30">
      <c r="A306" s="2">
        <v>2000</v>
      </c>
      <c r="B306" s="2">
        <v>1</v>
      </c>
      <c r="C306" s="19">
        <f t="shared" ref="C306:C311" si="20">SUM(D306:F306,I306:L306)</f>
        <v>2653213</v>
      </c>
      <c r="D306" s="19">
        <f>'FPC wSEB'!D306-SEB!D306</f>
        <v>1158488</v>
      </c>
      <c r="E306" s="19">
        <f>'FPC wSEB'!E306-SEB!E306</f>
        <v>693406</v>
      </c>
      <c r="F306" s="19">
        <f>'FPC wSEB'!F306-SEB!F306</f>
        <v>376359</v>
      </c>
      <c r="G306" s="19">
        <f>'FPC wSEB'!G306-SEB!G306</f>
        <v>147694</v>
      </c>
      <c r="H306" s="20">
        <f>'FPC wSEB'!H306-SEB!H306</f>
        <v>228665</v>
      </c>
      <c r="I306" s="19">
        <f>'FPC wSEB'!I306-SEB!I306</f>
        <v>2241</v>
      </c>
      <c r="J306" s="19">
        <f>'FPC wSEB'!J306-SEB!J306</f>
        <v>175396</v>
      </c>
      <c r="K306" s="19">
        <f>'FPC wSEB'!K306</f>
        <v>148466</v>
      </c>
      <c r="L306" s="19">
        <f>'FPC wSEB'!L306</f>
        <v>98857</v>
      </c>
      <c r="U306" s="2">
        <v>2000</v>
      </c>
      <c r="V306" s="2">
        <v>1</v>
      </c>
      <c r="W306" s="19">
        <f t="shared" si="19"/>
        <v>1297118</v>
      </c>
      <c r="X306" s="19">
        <f>'FPC wSEB'!X306-SEB!Q306</f>
        <v>1143553</v>
      </c>
      <c r="Y306" s="19">
        <f>'FPC wSEB'!Y306-SEB!R306</f>
        <v>132331</v>
      </c>
      <c r="Z306" s="19">
        <f>'FPC wSEB'!Z306-SEB!S306</f>
        <v>2438</v>
      </c>
      <c r="AA306" s="19">
        <f>'FPC wSEB'!AA306-SEB!T306</f>
        <v>2064</v>
      </c>
      <c r="AB306" s="19">
        <f>'FPC wSEB'!AB306-SEB!U306</f>
        <v>16714</v>
      </c>
      <c r="AC306" s="19">
        <f>'FPC wSEB'!AC306</f>
        <v>4</v>
      </c>
      <c r="AD306" s="19">
        <f>'FPC wSEB'!AD306</f>
        <v>14</v>
      </c>
    </row>
    <row r="307" spans="1:30">
      <c r="A307" s="2">
        <v>2000</v>
      </c>
      <c r="B307" s="2">
        <v>2</v>
      </c>
      <c r="C307" s="19">
        <f t="shared" si="20"/>
        <v>3084847</v>
      </c>
      <c r="D307" s="19">
        <f>'FPC wSEB'!D307-SEB!D307</f>
        <v>1504212</v>
      </c>
      <c r="E307" s="19">
        <f>'FPC wSEB'!E307-SEB!E307</f>
        <v>797521</v>
      </c>
      <c r="F307" s="19">
        <f>'FPC wSEB'!F307-SEB!F307</f>
        <v>327042</v>
      </c>
      <c r="G307" s="19">
        <f>'FPC wSEB'!G307-SEB!G307</f>
        <v>114198</v>
      </c>
      <c r="H307" s="20">
        <f>'FPC wSEB'!H307-SEB!H307</f>
        <v>212844</v>
      </c>
      <c r="I307" s="19">
        <f>'FPC wSEB'!I307-SEB!I307</f>
        <v>2183</v>
      </c>
      <c r="J307" s="19">
        <f>'FPC wSEB'!J307-SEB!J307</f>
        <v>197694</v>
      </c>
      <c r="K307" s="19">
        <f>'FPC wSEB'!K307</f>
        <v>169987</v>
      </c>
      <c r="L307" s="19">
        <f>'FPC wSEB'!L307</f>
        <v>86208</v>
      </c>
      <c r="U307" s="2">
        <v>2000</v>
      </c>
      <c r="V307" s="2">
        <v>2</v>
      </c>
      <c r="W307" s="19">
        <f t="shared" si="19"/>
        <v>1411880</v>
      </c>
      <c r="X307" s="19">
        <f>'FPC wSEB'!X307-SEB!Q307</f>
        <v>1246664</v>
      </c>
      <c r="Y307" s="19">
        <f>'FPC wSEB'!Y307-SEB!R307</f>
        <v>142829</v>
      </c>
      <c r="Z307" s="19">
        <f>'FPC wSEB'!Z307-SEB!S307</f>
        <v>2633</v>
      </c>
      <c r="AA307" s="19">
        <f>'FPC wSEB'!AA307-SEB!T307</f>
        <v>2067</v>
      </c>
      <c r="AB307" s="19">
        <f>'FPC wSEB'!AB307-SEB!U307</f>
        <v>17668</v>
      </c>
      <c r="AC307" s="19">
        <f>'FPC wSEB'!AC307</f>
        <v>4</v>
      </c>
      <c r="AD307" s="19">
        <f>'FPC wSEB'!AD307</f>
        <v>15</v>
      </c>
    </row>
    <row r="308" spans="1:30">
      <c r="A308" s="2">
        <v>2000</v>
      </c>
      <c r="B308" s="2">
        <v>3</v>
      </c>
      <c r="C308" s="19">
        <f t="shared" si="20"/>
        <v>2576744</v>
      </c>
      <c r="D308" s="19">
        <f>'FPC wSEB'!D308-SEB!D308</f>
        <v>1044381</v>
      </c>
      <c r="E308" s="19">
        <f>'FPC wSEB'!E308-SEB!E308</f>
        <v>763099</v>
      </c>
      <c r="F308" s="19">
        <f>'FPC wSEB'!F308-SEB!F308</f>
        <v>361533</v>
      </c>
      <c r="G308" s="19">
        <f>'FPC wSEB'!G308-SEB!G308</f>
        <v>96999</v>
      </c>
      <c r="H308" s="20">
        <f>'FPC wSEB'!H308-SEB!H308</f>
        <v>264534</v>
      </c>
      <c r="I308" s="19">
        <f>'FPC wSEB'!I308-SEB!I308</f>
        <v>2205</v>
      </c>
      <c r="J308" s="19">
        <f>'FPC wSEB'!J308-SEB!J308</f>
        <v>194979</v>
      </c>
      <c r="K308" s="19">
        <f>'FPC wSEB'!K308</f>
        <v>126500</v>
      </c>
      <c r="L308" s="19">
        <f>'FPC wSEB'!L308</f>
        <v>84047</v>
      </c>
      <c r="U308" s="2">
        <v>2000</v>
      </c>
      <c r="V308" s="2">
        <v>3</v>
      </c>
      <c r="W308" s="19">
        <f t="shared" si="19"/>
        <v>1381933</v>
      </c>
      <c r="X308" s="19">
        <f>'FPC wSEB'!X308-SEB!Q308</f>
        <v>1219748</v>
      </c>
      <c r="Y308" s="19">
        <f>'FPC wSEB'!Y308-SEB!R308</f>
        <v>140116</v>
      </c>
      <c r="Z308" s="19">
        <f>'FPC wSEB'!Z308-SEB!S308</f>
        <v>2529</v>
      </c>
      <c r="AA308" s="19">
        <f>'FPC wSEB'!AA308-SEB!T308</f>
        <v>2058</v>
      </c>
      <c r="AB308" s="19">
        <f>'FPC wSEB'!AB308-SEB!U308</f>
        <v>17464</v>
      </c>
      <c r="AC308" s="19">
        <f>'FPC wSEB'!AC308</f>
        <v>4</v>
      </c>
      <c r="AD308" s="19">
        <f>'FPC wSEB'!AD308</f>
        <v>14</v>
      </c>
    </row>
    <row r="309" spans="1:30">
      <c r="A309" s="2">
        <v>2000</v>
      </c>
      <c r="B309" s="2">
        <v>4</v>
      </c>
      <c r="C309" s="19">
        <f t="shared" si="20"/>
        <v>2761526</v>
      </c>
      <c r="D309" s="19">
        <f>'FPC wSEB'!D309-SEB!D309</f>
        <v>1096735</v>
      </c>
      <c r="E309" s="19">
        <f>'FPC wSEB'!E309-SEB!E309</f>
        <v>847140</v>
      </c>
      <c r="F309" s="19">
        <f>'FPC wSEB'!F309-SEB!F309</f>
        <v>375668</v>
      </c>
      <c r="G309" s="19">
        <f>'FPC wSEB'!G309-SEB!G309</f>
        <v>123124</v>
      </c>
      <c r="H309" s="20">
        <f>'FPC wSEB'!H309-SEB!H309</f>
        <v>252544</v>
      </c>
      <c r="I309" s="19">
        <f>'FPC wSEB'!I309-SEB!I309</f>
        <v>2993</v>
      </c>
      <c r="J309" s="19">
        <f>'FPC wSEB'!J309-SEB!J309</f>
        <v>208964</v>
      </c>
      <c r="K309" s="19">
        <f>'FPC wSEB'!K309</f>
        <v>147027</v>
      </c>
      <c r="L309" s="19">
        <f>'FPC wSEB'!L309</f>
        <v>82999</v>
      </c>
      <c r="U309" s="2">
        <v>2000</v>
      </c>
      <c r="V309" s="2">
        <v>4</v>
      </c>
      <c r="W309" s="19">
        <f t="shared" ref="W309:W314" si="21">SUM(X309:AD309)</f>
        <v>1405281</v>
      </c>
      <c r="X309" s="19">
        <f>'FPC wSEB'!X309-SEB!Q309</f>
        <v>1239581</v>
      </c>
      <c r="Y309" s="19">
        <f>'FPC wSEB'!Y309-SEB!R309</f>
        <v>143291</v>
      </c>
      <c r="Z309" s="19">
        <f>'FPC wSEB'!Z309-SEB!S309</f>
        <v>2555</v>
      </c>
      <c r="AA309" s="19">
        <f>'FPC wSEB'!AA309-SEB!T309</f>
        <v>2062</v>
      </c>
      <c r="AB309" s="19">
        <f>'FPC wSEB'!AB309-SEB!U309</f>
        <v>17774</v>
      </c>
      <c r="AC309" s="19">
        <f>'FPC wSEB'!AC309</f>
        <v>4</v>
      </c>
      <c r="AD309" s="19">
        <f>'FPC wSEB'!AD309</f>
        <v>14</v>
      </c>
    </row>
    <row r="310" spans="1:30">
      <c r="A310" s="2">
        <v>2000</v>
      </c>
      <c r="B310" s="2">
        <v>5</v>
      </c>
      <c r="C310" s="19">
        <f t="shared" si="20"/>
        <v>2865573</v>
      </c>
      <c r="D310" s="19">
        <f>'FPC wSEB'!D310-SEB!D310</f>
        <v>1230156</v>
      </c>
      <c r="E310" s="19">
        <f>'FPC wSEB'!E310-SEB!E310</f>
        <v>882793</v>
      </c>
      <c r="F310" s="19">
        <f>'FPC wSEB'!F310-SEB!F310</f>
        <v>342253</v>
      </c>
      <c r="G310" s="19">
        <f>'FPC wSEB'!G310-SEB!G310</f>
        <v>95220</v>
      </c>
      <c r="H310" s="20">
        <f>'FPC wSEB'!H310-SEB!H310</f>
        <v>247033</v>
      </c>
      <c r="I310" s="19">
        <f>'FPC wSEB'!I310-SEB!I310</f>
        <v>2245</v>
      </c>
      <c r="J310" s="19">
        <f>'FPC wSEB'!J310-SEB!J310</f>
        <v>200296</v>
      </c>
      <c r="K310" s="19">
        <f>'FPC wSEB'!K310</f>
        <v>137856</v>
      </c>
      <c r="L310" s="19">
        <f>'FPC wSEB'!L310</f>
        <v>69974</v>
      </c>
      <c r="U310" s="2">
        <v>2000</v>
      </c>
      <c r="V310" s="2">
        <v>5</v>
      </c>
      <c r="W310" s="19">
        <f t="shared" si="21"/>
        <v>1372768</v>
      </c>
      <c r="X310" s="19">
        <f>'FPC wSEB'!X310-SEB!Q310</f>
        <v>1209782</v>
      </c>
      <c r="Y310" s="19">
        <f>'FPC wSEB'!Y310-SEB!R310</f>
        <v>140740</v>
      </c>
      <c r="Z310" s="19">
        <f>'FPC wSEB'!Z310-SEB!S310</f>
        <v>2515</v>
      </c>
      <c r="AA310" s="19">
        <f>'FPC wSEB'!AA310-SEB!T310</f>
        <v>2062</v>
      </c>
      <c r="AB310" s="19">
        <f>'FPC wSEB'!AB310-SEB!U310</f>
        <v>17652</v>
      </c>
      <c r="AC310" s="19">
        <f>'FPC wSEB'!AC310</f>
        <v>4</v>
      </c>
      <c r="AD310" s="19">
        <f>'FPC wSEB'!AD310</f>
        <v>13</v>
      </c>
    </row>
    <row r="311" spans="1:30">
      <c r="A311" s="2">
        <v>2000</v>
      </c>
      <c r="B311" s="2">
        <v>6</v>
      </c>
      <c r="C311" s="19">
        <f t="shared" si="20"/>
        <v>3653312</v>
      </c>
      <c r="D311" s="19">
        <f>'FPC wSEB'!D311-SEB!D311</f>
        <v>1712558</v>
      </c>
      <c r="E311" s="19">
        <f>'FPC wSEB'!E311-SEB!E311</f>
        <v>1006023</v>
      </c>
      <c r="F311" s="19">
        <f>'FPC wSEB'!F311-SEB!F311</f>
        <v>383383</v>
      </c>
      <c r="G311" s="19">
        <f>'FPC wSEB'!G311-SEB!G311</f>
        <v>105644</v>
      </c>
      <c r="H311" s="20">
        <f>'FPC wSEB'!H311-SEB!H311</f>
        <v>277739</v>
      </c>
      <c r="I311" s="19">
        <f>'FPC wSEB'!I311-SEB!I311</f>
        <v>2277</v>
      </c>
      <c r="J311" s="19">
        <f>'FPC wSEB'!J311-SEB!J311</f>
        <v>250205</v>
      </c>
      <c r="K311" s="19">
        <f>'FPC wSEB'!K311</f>
        <v>204826</v>
      </c>
      <c r="L311" s="19">
        <f>'FPC wSEB'!L311</f>
        <v>94040</v>
      </c>
      <c r="U311" s="2">
        <v>2000</v>
      </c>
      <c r="V311" s="2">
        <v>6</v>
      </c>
      <c r="W311" s="19">
        <f t="shared" si="21"/>
        <v>1368780</v>
      </c>
      <c r="X311" s="19">
        <f>'FPC wSEB'!X311-SEB!Q311</f>
        <v>1205323</v>
      </c>
      <c r="Y311" s="19">
        <f>'FPC wSEB'!Y311-SEB!R311</f>
        <v>141297</v>
      </c>
      <c r="Z311" s="19">
        <f>'FPC wSEB'!Z311-SEB!S311</f>
        <v>2529</v>
      </c>
      <c r="AA311" s="19">
        <f>'FPC wSEB'!AA311-SEB!T311</f>
        <v>2062</v>
      </c>
      <c r="AB311" s="19">
        <f>'FPC wSEB'!AB311-SEB!U311</f>
        <v>17550</v>
      </c>
      <c r="AC311" s="19">
        <f>'FPC wSEB'!AC311</f>
        <v>4</v>
      </c>
      <c r="AD311" s="19">
        <f>'FPC wSEB'!AD311</f>
        <v>15</v>
      </c>
    </row>
    <row r="312" spans="1:30">
      <c r="A312" s="2">
        <v>2000</v>
      </c>
      <c r="B312" s="2">
        <v>7</v>
      </c>
      <c r="C312" s="19">
        <f t="shared" ref="C312:C317" si="22">SUM(D312:F312,I312:L312)</f>
        <v>3882455</v>
      </c>
      <c r="D312" s="19">
        <f>'FPC wSEB'!D312-SEB!D312</f>
        <v>1821841</v>
      </c>
      <c r="E312" s="19">
        <f>'FPC wSEB'!E312-SEB!E312</f>
        <v>1066651</v>
      </c>
      <c r="F312" s="19">
        <f>'FPC wSEB'!F312-SEB!F312</f>
        <v>372006</v>
      </c>
      <c r="G312" s="19">
        <f>'FPC wSEB'!G312-SEB!G312</f>
        <v>107097</v>
      </c>
      <c r="H312" s="20">
        <f>'FPC wSEB'!H312-SEB!H312</f>
        <v>264909</v>
      </c>
      <c r="I312" s="19">
        <f>'FPC wSEB'!I312-SEB!I312</f>
        <v>2171</v>
      </c>
      <c r="J312" s="19">
        <f>'FPC wSEB'!J312-SEB!J312</f>
        <v>234384</v>
      </c>
      <c r="K312" s="19">
        <f>'FPC wSEB'!K312</f>
        <v>249189</v>
      </c>
      <c r="L312" s="19">
        <f>'FPC wSEB'!L312</f>
        <v>136213</v>
      </c>
      <c r="U312" s="2">
        <v>2000</v>
      </c>
      <c r="V312" s="2">
        <v>7</v>
      </c>
      <c r="W312" s="19">
        <f t="shared" si="21"/>
        <v>1384629</v>
      </c>
      <c r="X312" s="19">
        <f>'FPC wSEB'!X312-SEB!Q312</f>
        <v>1220171</v>
      </c>
      <c r="Y312" s="19">
        <f>'FPC wSEB'!Y312-SEB!R312</f>
        <v>142268</v>
      </c>
      <c r="Z312" s="19">
        <f>'FPC wSEB'!Z312-SEB!S312</f>
        <v>2477</v>
      </c>
      <c r="AA312" s="19">
        <f>'FPC wSEB'!AA312-SEB!T312</f>
        <v>2049</v>
      </c>
      <c r="AB312" s="19">
        <f>'FPC wSEB'!AB312-SEB!U312</f>
        <v>17645</v>
      </c>
      <c r="AC312" s="19">
        <f>'FPC wSEB'!AC312</f>
        <v>4</v>
      </c>
      <c r="AD312" s="19">
        <f>'FPC wSEB'!AD312</f>
        <v>15</v>
      </c>
    </row>
    <row r="313" spans="1:30">
      <c r="A313" s="2">
        <v>2000</v>
      </c>
      <c r="B313" s="2">
        <v>8</v>
      </c>
      <c r="C313" s="19">
        <f t="shared" si="22"/>
        <v>3750054</v>
      </c>
      <c r="D313" s="19">
        <f>'FPC wSEB'!D313-SEB!D313</f>
        <v>1755132</v>
      </c>
      <c r="E313" s="19">
        <f>'FPC wSEB'!E313-SEB!E313</f>
        <v>1025106</v>
      </c>
      <c r="F313" s="19">
        <f>'FPC wSEB'!F313-SEB!F313</f>
        <v>330544</v>
      </c>
      <c r="G313" s="19">
        <f>'FPC wSEB'!G313-SEB!G313</f>
        <v>86005</v>
      </c>
      <c r="H313" s="20">
        <f>'FPC wSEB'!H313-SEB!H313</f>
        <v>244539</v>
      </c>
      <c r="I313" s="19">
        <f>'FPC wSEB'!I313-SEB!I313</f>
        <v>2241</v>
      </c>
      <c r="J313" s="19">
        <f>'FPC wSEB'!J313-SEB!J313</f>
        <v>229570</v>
      </c>
      <c r="K313" s="19">
        <f>'FPC wSEB'!K313</f>
        <v>292884</v>
      </c>
      <c r="L313" s="19">
        <f>'FPC wSEB'!L313</f>
        <v>114577</v>
      </c>
      <c r="U313" s="2">
        <v>2000</v>
      </c>
      <c r="V313" s="2">
        <v>8</v>
      </c>
      <c r="W313" s="19">
        <f t="shared" si="21"/>
        <v>1397949</v>
      </c>
      <c r="X313" s="19">
        <f>'FPC wSEB'!X313-SEB!Q313</f>
        <v>1231505</v>
      </c>
      <c r="Y313" s="19">
        <f>'FPC wSEB'!Y313-SEB!R313</f>
        <v>143898</v>
      </c>
      <c r="Z313" s="19">
        <f>'FPC wSEB'!Z313-SEB!S313</f>
        <v>2526</v>
      </c>
      <c r="AA313" s="19">
        <f>'FPC wSEB'!AA313-SEB!T313</f>
        <v>2048</v>
      </c>
      <c r="AB313" s="19">
        <f>'FPC wSEB'!AB313-SEB!U313</f>
        <v>17955</v>
      </c>
      <c r="AC313" s="19">
        <f>'FPC wSEB'!AC313</f>
        <v>4</v>
      </c>
      <c r="AD313" s="19">
        <f>'FPC wSEB'!AD313</f>
        <v>13</v>
      </c>
    </row>
    <row r="314" spans="1:30">
      <c r="A314" s="2">
        <v>2000</v>
      </c>
      <c r="B314" s="2">
        <v>9</v>
      </c>
      <c r="C314" s="19">
        <f t="shared" si="22"/>
        <v>4006959</v>
      </c>
      <c r="D314" s="19">
        <f>'FPC wSEB'!D314-SEB!D314</f>
        <v>1858756</v>
      </c>
      <c r="E314" s="19">
        <f>'FPC wSEB'!E314-SEB!E314</f>
        <v>1068948</v>
      </c>
      <c r="F314" s="19">
        <f>'FPC wSEB'!F314-SEB!F314</f>
        <v>374859</v>
      </c>
      <c r="G314" s="19">
        <f>'FPC wSEB'!G314-SEB!G314</f>
        <v>108113</v>
      </c>
      <c r="H314" s="20">
        <f>'FPC wSEB'!H314-SEB!H314</f>
        <v>266746</v>
      </c>
      <c r="I314" s="19">
        <f>'FPC wSEB'!I314-SEB!I314</f>
        <v>2304</v>
      </c>
      <c r="J314" s="19">
        <f>'FPC wSEB'!J314-SEB!J314</f>
        <v>262331</v>
      </c>
      <c r="K314" s="19">
        <f>'FPC wSEB'!K314</f>
        <v>311004</v>
      </c>
      <c r="L314" s="19">
        <f>'FPC wSEB'!L314</f>
        <v>128757</v>
      </c>
      <c r="U314" s="2">
        <v>2000</v>
      </c>
      <c r="V314" s="2">
        <v>9</v>
      </c>
      <c r="W314" s="19">
        <f t="shared" si="21"/>
        <v>1405860</v>
      </c>
      <c r="X314" s="19">
        <f>'FPC wSEB'!X314-SEB!Q314</f>
        <v>1237881</v>
      </c>
      <c r="Y314" s="19">
        <f>'FPC wSEB'!Y314-SEB!R314</f>
        <v>145444</v>
      </c>
      <c r="Z314" s="19">
        <f>'FPC wSEB'!Z314-SEB!S314</f>
        <v>2547</v>
      </c>
      <c r="AA314" s="19">
        <f>'FPC wSEB'!AA314-SEB!T314</f>
        <v>2047</v>
      </c>
      <c r="AB314" s="19">
        <f>'FPC wSEB'!AB314-SEB!U314</f>
        <v>17923</v>
      </c>
      <c r="AC314" s="19">
        <f>'FPC wSEB'!AC314</f>
        <v>4</v>
      </c>
      <c r="AD314" s="19">
        <f>'FPC wSEB'!AD314</f>
        <v>14</v>
      </c>
    </row>
    <row r="315" spans="1:30">
      <c r="A315" s="2">
        <v>2000</v>
      </c>
      <c r="B315" s="2">
        <v>10</v>
      </c>
      <c r="C315" s="19">
        <f t="shared" si="22"/>
        <v>3343440</v>
      </c>
      <c r="D315" s="19">
        <f>'FPC wSEB'!D315-SEB!D315</f>
        <v>1447385</v>
      </c>
      <c r="E315" s="19">
        <f>'FPC wSEB'!E315-SEB!E315</f>
        <v>941984</v>
      </c>
      <c r="F315" s="19">
        <f>'FPC wSEB'!F315-SEB!F315</f>
        <v>341201</v>
      </c>
      <c r="G315" s="19">
        <f>'FPC wSEB'!G315-SEB!G315</f>
        <v>107345</v>
      </c>
      <c r="H315" s="20">
        <f>'FPC wSEB'!H315-SEB!H315</f>
        <v>233856</v>
      </c>
      <c r="I315" s="19">
        <f>'FPC wSEB'!I315-SEB!I315</f>
        <v>2297</v>
      </c>
      <c r="J315" s="19">
        <f>'FPC wSEB'!J315-SEB!J315</f>
        <v>233835</v>
      </c>
      <c r="K315" s="19">
        <f>'FPC wSEB'!K315</f>
        <v>252004</v>
      </c>
      <c r="L315" s="19">
        <f>'FPC wSEB'!L315</f>
        <v>124734</v>
      </c>
      <c r="U315" s="2">
        <v>2000</v>
      </c>
      <c r="V315" s="2">
        <v>10</v>
      </c>
      <c r="W315" s="19">
        <f t="shared" ref="W315:W320" si="23">SUM(X315:AD315)</f>
        <v>1391041</v>
      </c>
      <c r="X315" s="19">
        <f>'FPC wSEB'!X315-SEB!Q315</f>
        <v>1225832</v>
      </c>
      <c r="Y315" s="19">
        <f>'FPC wSEB'!Y315-SEB!R315</f>
        <v>142777</v>
      </c>
      <c r="Z315" s="19">
        <f>'FPC wSEB'!Z315-SEB!S315</f>
        <v>2539</v>
      </c>
      <c r="AA315" s="19">
        <f>'FPC wSEB'!AA315-SEB!T315</f>
        <v>2038</v>
      </c>
      <c r="AB315" s="19">
        <f>'FPC wSEB'!AB315-SEB!U315</f>
        <v>17836</v>
      </c>
      <c r="AC315" s="19">
        <f>'FPC wSEB'!AC315</f>
        <v>4</v>
      </c>
      <c r="AD315" s="19">
        <f>'FPC wSEB'!AD315</f>
        <v>15</v>
      </c>
    </row>
    <row r="316" spans="1:30">
      <c r="A316" s="2">
        <v>2000</v>
      </c>
      <c r="B316" s="2">
        <v>11</v>
      </c>
      <c r="C316" s="19">
        <f t="shared" si="22"/>
        <v>2898042</v>
      </c>
      <c r="D316" s="19">
        <f>'FPC wSEB'!D316-SEB!D316</f>
        <v>1111583</v>
      </c>
      <c r="E316" s="19">
        <f>'FPC wSEB'!E316-SEB!E316</f>
        <v>853591</v>
      </c>
      <c r="F316" s="19">
        <f>'FPC wSEB'!F316-SEB!F316</f>
        <v>346906</v>
      </c>
      <c r="G316" s="19">
        <f>'FPC wSEB'!G316-SEB!G316</f>
        <v>109506</v>
      </c>
      <c r="H316" s="20">
        <f>'FPC wSEB'!H316-SEB!H316</f>
        <v>237400</v>
      </c>
      <c r="I316" s="19">
        <f>'FPC wSEB'!I316-SEB!I316</f>
        <v>2306</v>
      </c>
      <c r="J316" s="19">
        <f>'FPC wSEB'!J316-SEB!J316</f>
        <v>221137</v>
      </c>
      <c r="K316" s="19">
        <f>'FPC wSEB'!K316</f>
        <v>260159</v>
      </c>
      <c r="L316" s="19">
        <f>'FPC wSEB'!L316</f>
        <v>102360</v>
      </c>
      <c r="U316" s="2">
        <v>2000</v>
      </c>
      <c r="V316" s="2">
        <v>11</v>
      </c>
      <c r="W316" s="19">
        <f t="shared" si="23"/>
        <v>1463377</v>
      </c>
      <c r="X316" s="19">
        <f>'FPC wSEB'!X316-SEB!Q316</f>
        <v>1290544</v>
      </c>
      <c r="Y316" s="19">
        <f>'FPC wSEB'!Y316-SEB!R316</f>
        <v>149616</v>
      </c>
      <c r="Z316" s="19">
        <f>'FPC wSEB'!Z316-SEB!S316</f>
        <v>2608</v>
      </c>
      <c r="AA316" s="19">
        <f>'FPC wSEB'!AA316-SEB!T316</f>
        <v>2042</v>
      </c>
      <c r="AB316" s="19">
        <f>'FPC wSEB'!AB316-SEB!U316</f>
        <v>18549</v>
      </c>
      <c r="AC316" s="19">
        <f>'FPC wSEB'!AC316</f>
        <v>4</v>
      </c>
      <c r="AD316" s="19">
        <f>'FPC wSEB'!AD316</f>
        <v>14</v>
      </c>
    </row>
    <row r="317" spans="1:30">
      <c r="A317" s="2">
        <v>2000</v>
      </c>
      <c r="B317" s="2">
        <v>12</v>
      </c>
      <c r="C317" s="19">
        <f t="shared" si="22"/>
        <v>2876648</v>
      </c>
      <c r="D317" s="19">
        <f>'FPC wSEB'!D317-SEB!D317</f>
        <v>1266245</v>
      </c>
      <c r="E317" s="19">
        <f>'FPC wSEB'!E317-SEB!E317</f>
        <v>783004</v>
      </c>
      <c r="F317" s="19">
        <f>'FPC wSEB'!F317-SEB!F317</f>
        <v>316377</v>
      </c>
      <c r="G317" s="19">
        <f>'FPC wSEB'!G317-SEB!G317</f>
        <v>96545</v>
      </c>
      <c r="H317" s="20">
        <f>'FPC wSEB'!H317-SEB!H317</f>
        <v>219832</v>
      </c>
      <c r="I317" s="19">
        <f>'FPC wSEB'!I317-SEB!I317</f>
        <v>2291</v>
      </c>
      <c r="J317" s="19">
        <f>'FPC wSEB'!J317-SEB!J317</f>
        <v>199364</v>
      </c>
      <c r="K317" s="19">
        <f>'FPC wSEB'!K317</f>
        <v>217914</v>
      </c>
      <c r="L317" s="19">
        <f>'FPC wSEB'!L317</f>
        <v>91453</v>
      </c>
      <c r="U317" s="2">
        <v>2000</v>
      </c>
      <c r="V317" s="2">
        <v>12</v>
      </c>
      <c r="W317" s="19">
        <f t="shared" si="23"/>
        <v>1370724</v>
      </c>
      <c r="X317" s="19">
        <f>'FPC wSEB'!X317-SEB!Q317</f>
        <v>1209257</v>
      </c>
      <c r="Y317" s="19">
        <f>'FPC wSEB'!Y317-SEB!R317</f>
        <v>139257</v>
      </c>
      <c r="Z317" s="19">
        <f>'FPC wSEB'!Z317-SEB!S317</f>
        <v>2473</v>
      </c>
      <c r="AA317" s="19">
        <f>'FPC wSEB'!AA317-SEB!T317</f>
        <v>2033</v>
      </c>
      <c r="AB317" s="19">
        <f>'FPC wSEB'!AB317-SEB!U317</f>
        <v>17685</v>
      </c>
      <c r="AC317" s="19">
        <f>'FPC wSEB'!AC317</f>
        <v>4</v>
      </c>
      <c r="AD317" s="19">
        <f>'FPC wSEB'!AD317</f>
        <v>15</v>
      </c>
    </row>
    <row r="318" spans="1:30">
      <c r="A318" s="2">
        <v>2001</v>
      </c>
      <c r="B318" s="2">
        <v>1</v>
      </c>
      <c r="C318" s="19">
        <f t="shared" ref="C318:C323" si="24">SUM(D318:F318,I318:L318)</f>
        <v>3628734</v>
      </c>
      <c r="D318" s="19">
        <f>'FPC wSEB'!D318-SEB!D318</f>
        <v>1950309</v>
      </c>
      <c r="E318" s="19">
        <f>'FPC wSEB'!E318-SEB!E318</f>
        <v>854692</v>
      </c>
      <c r="F318" s="19">
        <f>'FPC wSEB'!F318-SEB!F318</f>
        <v>331330</v>
      </c>
      <c r="G318" s="19">
        <f>'FPC wSEB'!G318-SEB!G318</f>
        <v>96126</v>
      </c>
      <c r="H318" s="20">
        <f>'FPC wSEB'!H318-SEB!H318</f>
        <v>235204</v>
      </c>
      <c r="I318" s="19">
        <f>'FPC wSEB'!I318-SEB!I318</f>
        <v>2317</v>
      </c>
      <c r="J318" s="19">
        <f>'FPC wSEB'!J318-SEB!J318</f>
        <v>208443</v>
      </c>
      <c r="K318" s="19">
        <f>'FPC wSEB'!K318</f>
        <v>208138</v>
      </c>
      <c r="L318" s="19">
        <f>'FPC wSEB'!L318</f>
        <v>73505</v>
      </c>
      <c r="U318" s="2">
        <v>2001</v>
      </c>
      <c r="V318" s="2">
        <v>1</v>
      </c>
      <c r="W318" s="19">
        <f t="shared" si="23"/>
        <v>1451948</v>
      </c>
      <c r="X318" s="19">
        <f>'FPC wSEB'!X318-SEB!Q318</f>
        <v>1283171</v>
      </c>
      <c r="Y318" s="19">
        <f>'FPC wSEB'!Y318-SEB!R318</f>
        <v>145702</v>
      </c>
      <c r="Z318" s="19">
        <f>'FPC wSEB'!Z318-SEB!S318</f>
        <v>2560</v>
      </c>
      <c r="AA318" s="19">
        <f>'FPC wSEB'!AA318-SEB!T318</f>
        <v>2029</v>
      </c>
      <c r="AB318" s="19">
        <f>'FPC wSEB'!AB318-SEB!U318</f>
        <v>18470</v>
      </c>
      <c r="AC318" s="19">
        <f>'FPC wSEB'!AC318</f>
        <v>4</v>
      </c>
      <c r="AD318" s="19">
        <f>'FPC wSEB'!AD318</f>
        <v>12</v>
      </c>
    </row>
    <row r="319" spans="1:30">
      <c r="A319" s="2">
        <v>2001</v>
      </c>
      <c r="B319" s="2">
        <v>2</v>
      </c>
      <c r="C319" s="19">
        <f t="shared" si="24"/>
        <v>2970927</v>
      </c>
      <c r="D319" s="19">
        <f>'FPC wSEB'!D319-SEB!D319</f>
        <v>1358480</v>
      </c>
      <c r="E319" s="19">
        <f>'FPC wSEB'!E319-SEB!E319</f>
        <v>776729</v>
      </c>
      <c r="F319" s="19">
        <f>'FPC wSEB'!F319-SEB!F319</f>
        <v>295997</v>
      </c>
      <c r="G319" s="19">
        <f>'FPC wSEB'!G319-SEB!G319</f>
        <v>90685</v>
      </c>
      <c r="H319" s="20">
        <f>'FPC wSEB'!H319-SEB!H319</f>
        <v>205312</v>
      </c>
      <c r="I319" s="19">
        <f>'FPC wSEB'!I319-SEB!I319</f>
        <v>2345</v>
      </c>
      <c r="J319" s="19">
        <f>'FPC wSEB'!J319-SEB!J319</f>
        <v>196593</v>
      </c>
      <c r="K319" s="19">
        <f>'FPC wSEB'!K319</f>
        <v>236300</v>
      </c>
      <c r="L319" s="19">
        <f>'FPC wSEB'!L319</f>
        <v>104483</v>
      </c>
      <c r="U319" s="2">
        <v>2001</v>
      </c>
      <c r="V319" s="2">
        <v>2</v>
      </c>
      <c r="W319" s="19">
        <f t="shared" si="23"/>
        <v>1421649</v>
      </c>
      <c r="X319" s="19">
        <f>'FPC wSEB'!X319-SEB!Q319</f>
        <v>1255901</v>
      </c>
      <c r="Y319" s="19">
        <f>'FPC wSEB'!Y319-SEB!R319</f>
        <v>143050</v>
      </c>
      <c r="Z319" s="19">
        <f>'FPC wSEB'!Z319-SEB!S319</f>
        <v>2561</v>
      </c>
      <c r="AA319" s="19">
        <f>'FPC wSEB'!AA319-SEB!T319</f>
        <v>2019</v>
      </c>
      <c r="AB319" s="19">
        <f>'FPC wSEB'!AB319-SEB!U319</f>
        <v>18100</v>
      </c>
      <c r="AC319" s="19">
        <f>'FPC wSEB'!AC319</f>
        <v>4</v>
      </c>
      <c r="AD319" s="19">
        <f>'FPC wSEB'!AD319</f>
        <v>14</v>
      </c>
    </row>
    <row r="320" spans="1:30">
      <c r="A320" s="2">
        <v>2001</v>
      </c>
      <c r="B320" s="2">
        <v>3</v>
      </c>
      <c r="C320" s="19">
        <f t="shared" si="24"/>
        <v>2603049</v>
      </c>
      <c r="D320" s="19">
        <f>'FPC wSEB'!D320-SEB!D320</f>
        <v>1067677</v>
      </c>
      <c r="E320" s="19">
        <f>'FPC wSEB'!E320-SEB!E320</f>
        <v>772109</v>
      </c>
      <c r="F320" s="19">
        <f>'FPC wSEB'!F320-SEB!F320</f>
        <v>351831</v>
      </c>
      <c r="G320" s="19">
        <f>'FPC wSEB'!G320-SEB!G320</f>
        <v>93634</v>
      </c>
      <c r="H320" s="20">
        <f>'FPC wSEB'!H320-SEB!H320</f>
        <v>258197</v>
      </c>
      <c r="I320" s="19">
        <f>'FPC wSEB'!I320-SEB!I320</f>
        <v>2215</v>
      </c>
      <c r="J320" s="19">
        <f>'FPC wSEB'!J320-SEB!J320</f>
        <v>199705</v>
      </c>
      <c r="K320" s="19">
        <f>'FPC wSEB'!K320</f>
        <v>117440</v>
      </c>
      <c r="L320" s="19">
        <f>'FPC wSEB'!L320</f>
        <v>92072</v>
      </c>
      <c r="U320" s="2">
        <v>2001</v>
      </c>
      <c r="V320" s="2">
        <v>3</v>
      </c>
      <c r="W320" s="19">
        <f t="shared" si="23"/>
        <v>1374324</v>
      </c>
      <c r="X320" s="19">
        <f>'FPC wSEB'!X320-SEB!Q320</f>
        <v>1213141</v>
      </c>
      <c r="Y320" s="19">
        <f>'FPC wSEB'!Y320-SEB!R320</f>
        <v>138992</v>
      </c>
      <c r="Z320" s="19">
        <f>'FPC wSEB'!Z320-SEB!S320</f>
        <v>2475</v>
      </c>
      <c r="AA320" s="19">
        <f>'FPC wSEB'!AA320-SEB!T320</f>
        <v>2014</v>
      </c>
      <c r="AB320" s="19">
        <f>'FPC wSEB'!AB320-SEB!U320</f>
        <v>17683</v>
      </c>
      <c r="AC320" s="19">
        <f>'FPC wSEB'!AC320</f>
        <v>4</v>
      </c>
      <c r="AD320" s="19">
        <f>'FPC wSEB'!AD320</f>
        <v>15</v>
      </c>
    </row>
    <row r="321" spans="1:30">
      <c r="A321" s="2">
        <v>2001</v>
      </c>
      <c r="B321" s="2">
        <v>4</v>
      </c>
      <c r="C321" s="19">
        <f t="shared" si="24"/>
        <v>2840643</v>
      </c>
      <c r="D321" s="19">
        <f>'FPC wSEB'!D321-SEB!D321</f>
        <v>1176121</v>
      </c>
      <c r="E321" s="19">
        <f>'FPC wSEB'!E321-SEB!E321</f>
        <v>865972</v>
      </c>
      <c r="F321" s="19">
        <f>'FPC wSEB'!F321-SEB!F321</f>
        <v>335096</v>
      </c>
      <c r="G321" s="19">
        <f>'FPC wSEB'!G321-SEB!G321</f>
        <v>94460</v>
      </c>
      <c r="H321" s="20">
        <f>'FPC wSEB'!H321-SEB!H321</f>
        <v>240636</v>
      </c>
      <c r="I321" s="19">
        <f>'FPC wSEB'!I321-SEB!I321</f>
        <v>2532</v>
      </c>
      <c r="J321" s="19">
        <f>'FPC wSEB'!J321-SEB!J321</f>
        <v>211487</v>
      </c>
      <c r="K321" s="19">
        <f>'FPC wSEB'!K321</f>
        <v>179734</v>
      </c>
      <c r="L321" s="19">
        <f>'FPC wSEB'!L321</f>
        <v>69701</v>
      </c>
      <c r="U321" s="2">
        <v>2001</v>
      </c>
      <c r="V321" s="2">
        <v>4</v>
      </c>
      <c r="W321" s="19">
        <f t="shared" ref="W321:W326" si="25">SUM(X321:AD321)</f>
        <v>1463303</v>
      </c>
      <c r="X321" s="19">
        <f>'FPC wSEB'!X321-SEB!Q321</f>
        <v>1291757</v>
      </c>
      <c r="Y321" s="19">
        <f>'FPC wSEB'!Y321-SEB!R321</f>
        <v>148247</v>
      </c>
      <c r="Z321" s="19">
        <f>'FPC wSEB'!Z321-SEB!S321</f>
        <v>2596</v>
      </c>
      <c r="AA321" s="19">
        <f>'FPC wSEB'!AA321-SEB!T321</f>
        <v>2010</v>
      </c>
      <c r="AB321" s="19">
        <f>'FPC wSEB'!AB321-SEB!U321</f>
        <v>18675</v>
      </c>
      <c r="AC321" s="19">
        <f>'FPC wSEB'!AC321</f>
        <v>4</v>
      </c>
      <c r="AD321" s="19">
        <f>'FPC wSEB'!AD321</f>
        <v>14</v>
      </c>
    </row>
    <row r="322" spans="1:30">
      <c r="A322" s="2">
        <v>2001</v>
      </c>
      <c r="B322" s="2">
        <v>5</v>
      </c>
      <c r="C322" s="19">
        <f t="shared" si="24"/>
        <v>2929587</v>
      </c>
      <c r="D322" s="19">
        <f>'FPC wSEB'!D322-SEB!D322</f>
        <v>1196004</v>
      </c>
      <c r="E322" s="19">
        <f>'FPC wSEB'!E322-SEB!E322</f>
        <v>872569</v>
      </c>
      <c r="F322" s="19">
        <f>'FPC wSEB'!F322-SEB!F322</f>
        <v>328961</v>
      </c>
      <c r="G322" s="19">
        <f>'FPC wSEB'!G322-SEB!G322</f>
        <v>89322</v>
      </c>
      <c r="H322" s="20">
        <f>'FPC wSEB'!H322-SEB!H322</f>
        <v>239639</v>
      </c>
      <c r="I322" s="19">
        <f>'FPC wSEB'!I322-SEB!I322</f>
        <v>2194</v>
      </c>
      <c r="J322" s="19">
        <f>'FPC wSEB'!J322-SEB!J322</f>
        <v>217849</v>
      </c>
      <c r="K322" s="19">
        <f>'FPC wSEB'!K322</f>
        <v>235695</v>
      </c>
      <c r="L322" s="19">
        <f>'FPC wSEB'!L322</f>
        <v>76315</v>
      </c>
      <c r="U322" s="2">
        <v>2001</v>
      </c>
      <c r="V322" s="2">
        <v>5</v>
      </c>
      <c r="W322" s="19">
        <f t="shared" si="25"/>
        <v>1427438</v>
      </c>
      <c r="X322" s="19">
        <f>'FPC wSEB'!X322-SEB!Q322</f>
        <v>1259749</v>
      </c>
      <c r="Y322" s="19">
        <f>'FPC wSEB'!Y322-SEB!R322</f>
        <v>144628</v>
      </c>
      <c r="Z322" s="19">
        <f>'FPC wSEB'!Z322-SEB!S322</f>
        <v>2590</v>
      </c>
      <c r="AA322" s="19">
        <f>'FPC wSEB'!AA322-SEB!T322</f>
        <v>2004</v>
      </c>
      <c r="AB322" s="19">
        <f>'FPC wSEB'!AB322-SEB!U322</f>
        <v>18449</v>
      </c>
      <c r="AC322" s="19">
        <f>'FPC wSEB'!AC322</f>
        <v>4</v>
      </c>
      <c r="AD322" s="19">
        <f>'FPC wSEB'!AD322</f>
        <v>14</v>
      </c>
    </row>
    <row r="323" spans="1:30">
      <c r="A323" s="2">
        <v>2001</v>
      </c>
      <c r="B323" s="2">
        <v>6</v>
      </c>
      <c r="C323" s="19">
        <f t="shared" si="24"/>
        <v>3561470</v>
      </c>
      <c r="D323" s="19">
        <f>'FPC wSEB'!D323-SEB!D323</f>
        <v>1665847</v>
      </c>
      <c r="E323" s="19">
        <f>'FPC wSEB'!E323-SEB!E323</f>
        <v>1021367</v>
      </c>
      <c r="F323" s="19">
        <f>'FPC wSEB'!F323-SEB!F323</f>
        <v>345568</v>
      </c>
      <c r="G323" s="19">
        <f>'FPC wSEB'!G323-SEB!G323</f>
        <v>86296</v>
      </c>
      <c r="H323" s="20">
        <f>'FPC wSEB'!H323-SEB!H323</f>
        <v>259272</v>
      </c>
      <c r="I323" s="19">
        <f>'FPC wSEB'!I323-SEB!I323</f>
        <v>2445</v>
      </c>
      <c r="J323" s="19">
        <f>'FPC wSEB'!J323-SEB!J323</f>
        <v>234311</v>
      </c>
      <c r="K323" s="19">
        <f>'FPC wSEB'!K323</f>
        <v>172486</v>
      </c>
      <c r="L323" s="19">
        <f>'FPC wSEB'!L323</f>
        <v>119446</v>
      </c>
      <c r="U323" s="2">
        <v>2001</v>
      </c>
      <c r="V323" s="2">
        <v>6</v>
      </c>
      <c r="W323" s="19">
        <f t="shared" si="25"/>
        <v>1428446</v>
      </c>
      <c r="X323" s="19">
        <f>'FPC wSEB'!X323-SEB!Q323</f>
        <v>1259635</v>
      </c>
      <c r="Y323" s="19">
        <f>'FPC wSEB'!Y323-SEB!R323</f>
        <v>145623</v>
      </c>
      <c r="Z323" s="19">
        <f>'FPC wSEB'!Z323-SEB!S323</f>
        <v>2584</v>
      </c>
      <c r="AA323" s="19">
        <f>'FPC wSEB'!AA323-SEB!T323</f>
        <v>1995</v>
      </c>
      <c r="AB323" s="19">
        <f>'FPC wSEB'!AB323-SEB!U323</f>
        <v>18587</v>
      </c>
      <c r="AC323" s="19">
        <f>'FPC wSEB'!AC323</f>
        <v>5</v>
      </c>
      <c r="AD323" s="19">
        <f>'FPC wSEB'!AD323</f>
        <v>17</v>
      </c>
    </row>
    <row r="324" spans="1:30">
      <c r="A324" s="2">
        <v>2001</v>
      </c>
      <c r="B324" s="2">
        <v>7</v>
      </c>
      <c r="C324" s="19">
        <f t="shared" ref="C324:C329" si="26">SUM(D324:F324,I324:L324)</f>
        <v>3650202</v>
      </c>
      <c r="D324" s="19">
        <f>'FPC wSEB'!D324-SEB!D324</f>
        <v>1717765</v>
      </c>
      <c r="E324" s="19">
        <f>'FPC wSEB'!E324-SEB!E324</f>
        <v>1015763</v>
      </c>
      <c r="F324" s="19">
        <f>'FPC wSEB'!F324-SEB!F324</f>
        <v>304681</v>
      </c>
      <c r="G324" s="19">
        <f>'FPC wSEB'!G324-SEB!G324</f>
        <v>83637</v>
      </c>
      <c r="H324" s="20">
        <f>'FPC wSEB'!H324-SEB!H324</f>
        <v>221044</v>
      </c>
      <c r="I324" s="19">
        <f>'FPC wSEB'!I324-SEB!I324</f>
        <v>2340</v>
      </c>
      <c r="J324" s="19">
        <f>'FPC wSEB'!J324-SEB!J324</f>
        <v>227956</v>
      </c>
      <c r="K324" s="19">
        <f>'FPC wSEB'!K324</f>
        <v>210000</v>
      </c>
      <c r="L324" s="19">
        <f>'FPC wSEB'!L324</f>
        <v>171697</v>
      </c>
      <c r="U324" s="2">
        <v>2001</v>
      </c>
      <c r="V324" s="2">
        <v>7</v>
      </c>
      <c r="W324" s="19">
        <f t="shared" si="25"/>
        <v>1406746</v>
      </c>
      <c r="X324" s="19">
        <f>'FPC wSEB'!X324-SEB!Q324</f>
        <v>1240600</v>
      </c>
      <c r="Y324" s="19">
        <f>'FPC wSEB'!Y324-SEB!R324</f>
        <v>143430</v>
      </c>
      <c r="Z324" s="19">
        <f>'FPC wSEB'!Z324-SEB!S324</f>
        <v>2493</v>
      </c>
      <c r="AA324" s="19">
        <f>'FPC wSEB'!AA324-SEB!T324</f>
        <v>1993</v>
      </c>
      <c r="AB324" s="19">
        <f>'FPC wSEB'!AB324-SEB!U324</f>
        <v>18206</v>
      </c>
      <c r="AC324" s="19">
        <f>'FPC wSEB'!AC324</f>
        <v>5</v>
      </c>
      <c r="AD324" s="19">
        <f>'FPC wSEB'!AD324</f>
        <v>19</v>
      </c>
    </row>
    <row r="325" spans="1:30">
      <c r="A325" s="2">
        <v>2001</v>
      </c>
      <c r="B325" s="2">
        <v>8</v>
      </c>
      <c r="C325" s="19">
        <f t="shared" si="26"/>
        <v>3688058</v>
      </c>
      <c r="D325" s="19">
        <f>'FPC wSEB'!D325-SEB!D325</f>
        <v>1738041</v>
      </c>
      <c r="E325" s="19">
        <f>'FPC wSEB'!E325-SEB!E325</f>
        <v>1044306</v>
      </c>
      <c r="F325" s="19">
        <f>'FPC wSEB'!F325-SEB!F325</f>
        <v>299732</v>
      </c>
      <c r="G325" s="19">
        <f>'FPC wSEB'!G325-SEB!G325</f>
        <v>50701</v>
      </c>
      <c r="H325" s="20">
        <f>'FPC wSEB'!H325-SEB!H325</f>
        <v>249031</v>
      </c>
      <c r="I325" s="19">
        <f>'FPC wSEB'!I325-SEB!I325</f>
        <v>2291</v>
      </c>
      <c r="J325" s="19">
        <f>'FPC wSEB'!J325-SEB!J325</f>
        <v>237123</v>
      </c>
      <c r="K325" s="19">
        <f>'FPC wSEB'!K325</f>
        <v>229557</v>
      </c>
      <c r="L325" s="19">
        <f>'FPC wSEB'!L325</f>
        <v>137008</v>
      </c>
      <c r="U325" s="2">
        <v>2001</v>
      </c>
      <c r="V325" s="2">
        <v>8</v>
      </c>
      <c r="W325" s="19">
        <f t="shared" si="25"/>
        <v>1437355</v>
      </c>
      <c r="X325" s="19">
        <f>'FPC wSEB'!X325-SEB!Q325</f>
        <v>1267410</v>
      </c>
      <c r="Y325" s="19">
        <f>'FPC wSEB'!Y325-SEB!R325</f>
        <v>146689</v>
      </c>
      <c r="Z325" s="19">
        <f>'FPC wSEB'!Z325-SEB!S325</f>
        <v>2572</v>
      </c>
      <c r="AA325" s="19">
        <f>'FPC wSEB'!AA325-SEB!T325</f>
        <v>1988</v>
      </c>
      <c r="AB325" s="19">
        <f>'FPC wSEB'!AB325-SEB!U325</f>
        <v>18673</v>
      </c>
      <c r="AC325" s="19">
        <f>'FPC wSEB'!AC325</f>
        <v>6</v>
      </c>
      <c r="AD325" s="19">
        <f>'FPC wSEB'!AD325</f>
        <v>17</v>
      </c>
    </row>
    <row r="326" spans="1:30">
      <c r="A326" s="2">
        <v>2001</v>
      </c>
      <c r="B326" s="2">
        <v>9</v>
      </c>
      <c r="C326" s="19">
        <f t="shared" si="26"/>
        <v>4022182</v>
      </c>
      <c r="D326" s="19">
        <f>'FPC wSEB'!D326-SEB!D326</f>
        <v>1883598</v>
      </c>
      <c r="E326" s="19">
        <f>'FPC wSEB'!E326-SEB!E326</f>
        <v>1080519</v>
      </c>
      <c r="F326" s="19">
        <f>'FPC wSEB'!F326-SEB!F326</f>
        <v>329027</v>
      </c>
      <c r="G326" s="19">
        <f>'FPC wSEB'!G326-SEB!G326</f>
        <v>86603</v>
      </c>
      <c r="H326" s="20">
        <f>'FPC wSEB'!H326-SEB!H326</f>
        <v>242424</v>
      </c>
      <c r="I326" s="19">
        <f>'FPC wSEB'!I326-SEB!I326</f>
        <v>2388</v>
      </c>
      <c r="J326" s="19">
        <f>'FPC wSEB'!J326-SEB!J326</f>
        <v>273788</v>
      </c>
      <c r="K326" s="19">
        <f>'FPC wSEB'!K326</f>
        <v>289040</v>
      </c>
      <c r="L326" s="19">
        <f>'FPC wSEB'!L326</f>
        <v>163822</v>
      </c>
      <c r="U326" s="2">
        <v>2001</v>
      </c>
      <c r="V326" s="2">
        <v>9</v>
      </c>
      <c r="W326" s="19">
        <f t="shared" si="25"/>
        <v>1439769</v>
      </c>
      <c r="X326" s="19">
        <f>'FPC wSEB'!X326-SEB!Q326</f>
        <v>1268848</v>
      </c>
      <c r="Y326" s="19">
        <f>'FPC wSEB'!Y326-SEB!R326</f>
        <v>147601</v>
      </c>
      <c r="Z326" s="19">
        <f>'FPC wSEB'!Z326-SEB!S326</f>
        <v>2555</v>
      </c>
      <c r="AA326" s="19">
        <f>'FPC wSEB'!AA326-SEB!T326</f>
        <v>1988</v>
      </c>
      <c r="AB326" s="19">
        <f>'FPC wSEB'!AB326-SEB!U326</f>
        <v>18756</v>
      </c>
      <c r="AC326" s="19">
        <f>'FPC wSEB'!AC326</f>
        <v>4</v>
      </c>
      <c r="AD326" s="19">
        <f>'FPC wSEB'!AD326</f>
        <v>17</v>
      </c>
    </row>
    <row r="327" spans="1:30">
      <c r="A327" s="2">
        <v>2001</v>
      </c>
      <c r="B327" s="2">
        <v>10</v>
      </c>
      <c r="C327" s="19">
        <f t="shared" si="26"/>
        <v>3178426</v>
      </c>
      <c r="D327" s="19">
        <f>'FPC wSEB'!D327-SEB!D327</f>
        <v>1369379</v>
      </c>
      <c r="E327" s="19">
        <f>'FPC wSEB'!E327-SEB!E327</f>
        <v>915247</v>
      </c>
      <c r="F327" s="19">
        <f>'FPC wSEB'!F327-SEB!F327</f>
        <v>310074</v>
      </c>
      <c r="G327" s="19">
        <f>'FPC wSEB'!G327-SEB!G327</f>
        <v>77614</v>
      </c>
      <c r="H327" s="20">
        <f>'FPC wSEB'!H327-SEB!H327</f>
        <v>232460</v>
      </c>
      <c r="I327" s="19">
        <f>'FPC wSEB'!I327-SEB!I327</f>
        <v>2343</v>
      </c>
      <c r="J327" s="19">
        <f>'FPC wSEB'!J327-SEB!J327</f>
        <v>225272</v>
      </c>
      <c r="K327" s="19">
        <f>'FPC wSEB'!K327</f>
        <v>222132</v>
      </c>
      <c r="L327" s="19">
        <f>'FPC wSEB'!L327</f>
        <v>133979</v>
      </c>
      <c r="U327" s="2">
        <v>2001</v>
      </c>
      <c r="V327" s="2">
        <v>10</v>
      </c>
      <c r="W327" s="19">
        <f t="shared" ref="W327:W332" si="27">SUM(X327:AD327)</f>
        <v>1431062</v>
      </c>
      <c r="X327" s="19">
        <f>'FPC wSEB'!X327-SEB!Q327</f>
        <v>1262317</v>
      </c>
      <c r="Y327" s="19">
        <f>'FPC wSEB'!Y327-SEB!R327</f>
        <v>145696</v>
      </c>
      <c r="Z327" s="19">
        <f>'FPC wSEB'!Z327-SEB!S327</f>
        <v>2503</v>
      </c>
      <c r="AA327" s="19">
        <f>'FPC wSEB'!AA327-SEB!T327</f>
        <v>1988</v>
      </c>
      <c r="AB327" s="19">
        <f>'FPC wSEB'!AB327-SEB!U327</f>
        <v>18539</v>
      </c>
      <c r="AC327" s="19">
        <f>'FPC wSEB'!AC327</f>
        <v>4</v>
      </c>
      <c r="AD327" s="19">
        <f>'FPC wSEB'!AD327</f>
        <v>15</v>
      </c>
    </row>
    <row r="328" spans="1:30">
      <c r="A328" s="2">
        <v>2001</v>
      </c>
      <c r="B328" s="2">
        <v>11</v>
      </c>
      <c r="C328" s="19">
        <f t="shared" si="26"/>
        <v>2999140</v>
      </c>
      <c r="D328" s="19">
        <f>'FPC wSEB'!D328-SEB!D328</f>
        <v>1209502</v>
      </c>
      <c r="E328" s="19">
        <f>'FPC wSEB'!E328-SEB!E328</f>
        <v>894985</v>
      </c>
      <c r="F328" s="19">
        <f>'FPC wSEB'!F328-SEB!F328</f>
        <v>328932</v>
      </c>
      <c r="G328" s="19">
        <f>'FPC wSEB'!G328-SEB!G328</f>
        <v>90040</v>
      </c>
      <c r="H328" s="20">
        <f>'FPC wSEB'!H328-SEB!H328</f>
        <v>238892</v>
      </c>
      <c r="I328" s="19">
        <f>'FPC wSEB'!I328-SEB!I328</f>
        <v>2339</v>
      </c>
      <c r="J328" s="19">
        <f>'FPC wSEB'!J328-SEB!J328</f>
        <v>222504</v>
      </c>
      <c r="K328" s="19">
        <f>'FPC wSEB'!K328</f>
        <v>213007</v>
      </c>
      <c r="L328" s="19">
        <f>'FPC wSEB'!L328</f>
        <v>127871</v>
      </c>
      <c r="U328" s="2">
        <v>2001</v>
      </c>
      <c r="V328" s="2">
        <v>11</v>
      </c>
      <c r="W328" s="19">
        <f t="shared" si="27"/>
        <v>1483121</v>
      </c>
      <c r="X328" s="19">
        <f>'FPC wSEB'!X328-SEB!Q328</f>
        <v>1307709</v>
      </c>
      <c r="Y328" s="19">
        <f>'FPC wSEB'!Y328-SEB!R328</f>
        <v>151458</v>
      </c>
      <c r="Z328" s="19">
        <f>'FPC wSEB'!Z328-SEB!S328</f>
        <v>2585</v>
      </c>
      <c r="AA328" s="19">
        <f>'FPC wSEB'!AA328-SEB!T328</f>
        <v>1989</v>
      </c>
      <c r="AB328" s="19">
        <f>'FPC wSEB'!AB328-SEB!U328</f>
        <v>19360</v>
      </c>
      <c r="AC328" s="19">
        <f>'FPC wSEB'!AC328</f>
        <v>4</v>
      </c>
      <c r="AD328" s="19">
        <f>'FPC wSEB'!AD328</f>
        <v>16</v>
      </c>
    </row>
    <row r="329" spans="1:30">
      <c r="A329" s="2">
        <v>2001</v>
      </c>
      <c r="B329" s="2">
        <v>12</v>
      </c>
      <c r="C329" s="19">
        <f t="shared" si="26"/>
        <v>2818665</v>
      </c>
      <c r="D329" s="19">
        <f>'FPC wSEB'!D329-SEB!D329</f>
        <v>1160856</v>
      </c>
      <c r="E329" s="19">
        <f>'FPC wSEB'!E329-SEB!E329</f>
        <v>863550</v>
      </c>
      <c r="F329" s="19">
        <f>'FPC wSEB'!F329-SEB!F329</f>
        <v>310559</v>
      </c>
      <c r="G329" s="19">
        <f>'FPC wSEB'!G329-SEB!G329</f>
        <v>82849</v>
      </c>
      <c r="H329" s="20">
        <f>'FPC wSEB'!H329-SEB!H329</f>
        <v>227710</v>
      </c>
      <c r="I329" s="19">
        <f>'FPC wSEB'!I329-SEB!I329</f>
        <v>2256</v>
      </c>
      <c r="J329" s="19">
        <f>'FPC wSEB'!J329-SEB!J329</f>
        <v>225479</v>
      </c>
      <c r="K329" s="19">
        <f>'FPC wSEB'!K329</f>
        <v>147619</v>
      </c>
      <c r="L329" s="19">
        <f>'FPC wSEB'!L329</f>
        <v>108346</v>
      </c>
      <c r="U329" s="2">
        <v>2001</v>
      </c>
      <c r="V329" s="2">
        <v>12</v>
      </c>
      <c r="W329" s="19">
        <f t="shared" si="27"/>
        <v>1420759</v>
      </c>
      <c r="X329" s="19">
        <f>'FPC wSEB'!X329-SEB!Q329</f>
        <v>1253480</v>
      </c>
      <c r="Y329" s="19">
        <f>'FPC wSEB'!Y329-SEB!R329</f>
        <v>144306</v>
      </c>
      <c r="Z329" s="19">
        <f>'FPC wSEB'!Z329-SEB!S329</f>
        <v>2494</v>
      </c>
      <c r="AA329" s="19">
        <f>'FPC wSEB'!AA329-SEB!T329</f>
        <v>1965</v>
      </c>
      <c r="AB329" s="19">
        <f>'FPC wSEB'!AB329-SEB!U329</f>
        <v>18495</v>
      </c>
      <c r="AC329" s="19">
        <f>'FPC wSEB'!AC329</f>
        <v>4</v>
      </c>
      <c r="AD329" s="19">
        <f>'FPC wSEB'!AD329</f>
        <v>15</v>
      </c>
    </row>
    <row r="330" spans="1:30">
      <c r="A330" s="2">
        <f t="shared" ref="A330:A393" si="28">A318+1</f>
        <v>2002</v>
      </c>
      <c r="B330" s="2">
        <f t="shared" ref="B330:B393" si="29">B318</f>
        <v>1</v>
      </c>
      <c r="C330" s="19">
        <f t="shared" ref="C330:C335" si="30">SUM(D330:F330,I330:L330)</f>
        <v>3169250</v>
      </c>
      <c r="D330" s="19">
        <f>'FPC wSEB'!D330-SEB!D330</f>
        <v>1604735</v>
      </c>
      <c r="E330" s="19">
        <f>'FPC wSEB'!E330-SEB!E330</f>
        <v>850031</v>
      </c>
      <c r="F330" s="19">
        <f>'FPC wSEB'!F330-SEB!F330</f>
        <v>270288</v>
      </c>
      <c r="G330" s="19">
        <f>'FPC wSEB'!G330-SEB!G330</f>
        <v>58455</v>
      </c>
      <c r="H330" s="20">
        <f>'FPC wSEB'!H330-SEB!H330</f>
        <v>211833</v>
      </c>
      <c r="I330" s="19">
        <f>'FPC wSEB'!I330-SEB!I330</f>
        <v>2339</v>
      </c>
      <c r="J330" s="19">
        <f>'FPC wSEB'!J330-SEB!J330</f>
        <v>207017</v>
      </c>
      <c r="K330" s="19">
        <f>'FPC wSEB'!K330</f>
        <v>107159</v>
      </c>
      <c r="L330" s="19">
        <f>'FPC wSEB'!L330</f>
        <v>127681</v>
      </c>
      <c r="U330" s="2">
        <f t="shared" ref="U330:U393" si="31">U318+1</f>
        <v>2002</v>
      </c>
      <c r="V330" s="2">
        <f t="shared" ref="V330:V393" si="32">V318</f>
        <v>1</v>
      </c>
      <c r="W330" s="19">
        <f t="shared" si="27"/>
        <v>1462636</v>
      </c>
      <c r="X330" s="19">
        <f>'FPC wSEB'!X330-SEB!Q330</f>
        <v>1291891</v>
      </c>
      <c r="Y330" s="19">
        <f>'FPC wSEB'!Y330-SEB!R330</f>
        <v>147433</v>
      </c>
      <c r="Z330" s="19">
        <f>'FPC wSEB'!Z330-SEB!S330</f>
        <v>2566</v>
      </c>
      <c r="AA330" s="19">
        <f>'FPC wSEB'!AA330-SEB!T330</f>
        <v>1968</v>
      </c>
      <c r="AB330" s="19">
        <f>'FPC wSEB'!AB330-SEB!U330</f>
        <v>18751</v>
      </c>
      <c r="AC330" s="19">
        <f>'FPC wSEB'!AC330</f>
        <v>6</v>
      </c>
      <c r="AD330" s="19">
        <f>'FPC wSEB'!AD330</f>
        <v>21</v>
      </c>
    </row>
    <row r="331" spans="1:30">
      <c r="A331" s="2">
        <f t="shared" si="28"/>
        <v>2002</v>
      </c>
      <c r="B331" s="2">
        <f t="shared" si="29"/>
        <v>2</v>
      </c>
      <c r="C331" s="19">
        <f t="shared" si="30"/>
        <v>2673484</v>
      </c>
      <c r="D331" s="19">
        <f>'FPC wSEB'!D331-SEB!D331</f>
        <v>1182639</v>
      </c>
      <c r="E331" s="19">
        <f>'FPC wSEB'!E331-SEB!E331</f>
        <v>787849</v>
      </c>
      <c r="F331" s="19">
        <f>'FPC wSEB'!F331-SEB!F331</f>
        <v>319199</v>
      </c>
      <c r="G331" s="19">
        <f>'FPC wSEB'!G331-SEB!G331</f>
        <v>88175</v>
      </c>
      <c r="H331" s="20">
        <f>'FPC wSEB'!H331-SEB!H331</f>
        <v>231024</v>
      </c>
      <c r="I331" s="19">
        <f>'FPC wSEB'!I331-SEB!I331</f>
        <v>2342</v>
      </c>
      <c r="J331" s="19">
        <f>'FPC wSEB'!J331-SEB!J331</f>
        <v>203201</v>
      </c>
      <c r="K331" s="19">
        <f>'FPC wSEB'!K331</f>
        <v>44769</v>
      </c>
      <c r="L331" s="19">
        <f>'FPC wSEB'!L331</f>
        <v>133485</v>
      </c>
      <c r="U331" s="2">
        <f t="shared" si="31"/>
        <v>2002</v>
      </c>
      <c r="V331" s="2">
        <f t="shared" si="32"/>
        <v>2</v>
      </c>
      <c r="W331" s="19">
        <f t="shared" si="27"/>
        <v>1464602</v>
      </c>
      <c r="X331" s="19">
        <f>'FPC wSEB'!X331-SEB!Q331</f>
        <v>1293242</v>
      </c>
      <c r="Y331" s="19">
        <f>'FPC wSEB'!Y331-SEB!R331</f>
        <v>147952</v>
      </c>
      <c r="Z331" s="19">
        <f>'FPC wSEB'!Z331-SEB!S331</f>
        <v>2516</v>
      </c>
      <c r="AA331" s="19">
        <f>'FPC wSEB'!AA331-SEB!T331</f>
        <v>1966</v>
      </c>
      <c r="AB331" s="19">
        <f>'FPC wSEB'!AB331-SEB!U331</f>
        <v>18904</v>
      </c>
      <c r="AC331" s="19">
        <f>'FPC wSEB'!AC331</f>
        <v>4</v>
      </c>
      <c r="AD331" s="19">
        <f>'FPC wSEB'!AD331</f>
        <v>18</v>
      </c>
    </row>
    <row r="332" spans="1:30">
      <c r="A332" s="2">
        <f t="shared" si="28"/>
        <v>2002</v>
      </c>
      <c r="B332" s="2">
        <f t="shared" si="29"/>
        <v>3</v>
      </c>
      <c r="C332" s="19">
        <f t="shared" si="30"/>
        <v>2702785</v>
      </c>
      <c r="D332" s="19">
        <f>'FPC wSEB'!D332-SEB!D332</f>
        <v>1244221</v>
      </c>
      <c r="E332" s="19">
        <f>'FPC wSEB'!E332-SEB!E332</f>
        <v>798661</v>
      </c>
      <c r="F332" s="19">
        <f>'FPC wSEB'!F332-SEB!F332</f>
        <v>292881</v>
      </c>
      <c r="G332" s="19">
        <f>'FPC wSEB'!G332-SEB!G332</f>
        <v>81571</v>
      </c>
      <c r="H332" s="20">
        <f>'FPC wSEB'!H332-SEB!H332</f>
        <v>211310</v>
      </c>
      <c r="I332" s="19">
        <f>'FPC wSEB'!I332-SEB!I332</f>
        <v>2384</v>
      </c>
      <c r="J332" s="19">
        <f>'FPC wSEB'!J332-SEB!J332</f>
        <v>199428</v>
      </c>
      <c r="K332" s="19">
        <f>'FPC wSEB'!K332</f>
        <v>45119</v>
      </c>
      <c r="L332" s="19">
        <f>'FPC wSEB'!L332</f>
        <v>120091</v>
      </c>
      <c r="U332" s="2">
        <f t="shared" si="31"/>
        <v>2002</v>
      </c>
      <c r="V332" s="2">
        <f t="shared" si="32"/>
        <v>3</v>
      </c>
      <c r="W332" s="19">
        <f t="shared" si="27"/>
        <v>1456030</v>
      </c>
      <c r="X332" s="19">
        <f>'FPC wSEB'!X332-SEB!Q332</f>
        <v>1285336</v>
      </c>
      <c r="Y332" s="19">
        <f>'FPC wSEB'!Y332-SEB!R332</f>
        <v>147343</v>
      </c>
      <c r="Z332" s="19">
        <f>'FPC wSEB'!Z332-SEB!S332</f>
        <v>2495</v>
      </c>
      <c r="AA332" s="19">
        <f>'FPC wSEB'!AA332-SEB!T332</f>
        <v>1956</v>
      </c>
      <c r="AB332" s="19">
        <f>'FPC wSEB'!AB332-SEB!U332</f>
        <v>18878</v>
      </c>
      <c r="AC332" s="19">
        <f>'FPC wSEB'!AC332</f>
        <v>4</v>
      </c>
      <c r="AD332" s="19">
        <f>'FPC wSEB'!AD332</f>
        <v>18</v>
      </c>
    </row>
    <row r="333" spans="1:30">
      <c r="A333" s="2">
        <f t="shared" si="28"/>
        <v>2002</v>
      </c>
      <c r="B333" s="2">
        <f t="shared" si="29"/>
        <v>4</v>
      </c>
      <c r="C333" s="19">
        <f t="shared" si="30"/>
        <v>2844010</v>
      </c>
      <c r="D333" s="19">
        <f>'FPC wSEB'!D333-SEB!D333</f>
        <v>1238996</v>
      </c>
      <c r="E333" s="19">
        <f>'FPC wSEB'!E333-SEB!E333</f>
        <v>852612</v>
      </c>
      <c r="F333" s="19">
        <f>'FPC wSEB'!F333-SEB!F333</f>
        <v>310216</v>
      </c>
      <c r="G333" s="19">
        <f>'FPC wSEB'!G333-SEB!G333</f>
        <v>85567</v>
      </c>
      <c r="H333" s="20">
        <f>'FPC wSEB'!H333-SEB!H333</f>
        <v>224649</v>
      </c>
      <c r="I333" s="19">
        <f>'FPC wSEB'!I333-SEB!I333</f>
        <v>1711</v>
      </c>
      <c r="J333" s="19">
        <f>'FPC wSEB'!J333-SEB!J333</f>
        <v>218589</v>
      </c>
      <c r="K333" s="19">
        <f>'FPC wSEB'!K333</f>
        <v>63827</v>
      </c>
      <c r="L333" s="19">
        <f>'FPC wSEB'!L333</f>
        <v>158059</v>
      </c>
      <c r="U333" s="2">
        <f t="shared" si="31"/>
        <v>2002</v>
      </c>
      <c r="V333" s="2">
        <f t="shared" si="32"/>
        <v>4</v>
      </c>
      <c r="W333" s="19">
        <f t="shared" ref="W333:W338" si="33">SUM(X333:AD333)</f>
        <v>1392284</v>
      </c>
      <c r="X333" s="19">
        <f>'FPC wSEB'!X333-SEB!Q333</f>
        <v>1228559</v>
      </c>
      <c r="Y333" s="19">
        <f>'FPC wSEB'!Y333-SEB!R333</f>
        <v>141173</v>
      </c>
      <c r="Z333" s="19">
        <f>'FPC wSEB'!Z333-SEB!S333</f>
        <v>2370</v>
      </c>
      <c r="AA333" s="19">
        <f>'FPC wSEB'!AA333-SEB!T333</f>
        <v>1954</v>
      </c>
      <c r="AB333" s="19">
        <f>'FPC wSEB'!AB333-SEB!U333</f>
        <v>18208</v>
      </c>
      <c r="AC333" s="19">
        <f>'FPC wSEB'!AC333</f>
        <v>4</v>
      </c>
      <c r="AD333" s="19">
        <f>'FPC wSEB'!AD333</f>
        <v>16</v>
      </c>
    </row>
    <row r="334" spans="1:30">
      <c r="A334" s="2">
        <f t="shared" si="28"/>
        <v>2002</v>
      </c>
      <c r="B334" s="2">
        <f t="shared" si="29"/>
        <v>5</v>
      </c>
      <c r="C334" s="19">
        <f t="shared" si="30"/>
        <v>3635214</v>
      </c>
      <c r="D334" s="19">
        <f>'FPC wSEB'!D334-SEB!D334</f>
        <v>1645520</v>
      </c>
      <c r="E334" s="19">
        <f>'FPC wSEB'!E334-SEB!E334</f>
        <v>1048156</v>
      </c>
      <c r="F334" s="19">
        <f>'FPC wSEB'!F334-SEB!F334</f>
        <v>371981</v>
      </c>
      <c r="G334" s="19">
        <f>'FPC wSEB'!G334-SEB!G334</f>
        <v>99652</v>
      </c>
      <c r="H334" s="20">
        <f>'FPC wSEB'!H334-SEB!H334</f>
        <v>272329</v>
      </c>
      <c r="I334" s="19">
        <f>'FPC wSEB'!I334-SEB!I334</f>
        <v>2944</v>
      </c>
      <c r="J334" s="19">
        <f>'FPC wSEB'!J334-SEB!J334</f>
        <v>249206</v>
      </c>
      <c r="K334" s="19">
        <f>'FPC wSEB'!K334</f>
        <v>108871</v>
      </c>
      <c r="L334" s="19">
        <f>'FPC wSEB'!L334</f>
        <v>208536</v>
      </c>
      <c r="U334" s="2">
        <f t="shared" si="31"/>
        <v>2002</v>
      </c>
      <c r="V334" s="2">
        <f t="shared" si="32"/>
        <v>5</v>
      </c>
      <c r="W334" s="19">
        <f t="shared" si="33"/>
        <v>1522915</v>
      </c>
      <c r="X334" s="19">
        <f>'FPC wSEB'!X334-SEB!Q334</f>
        <v>1342508</v>
      </c>
      <c r="Y334" s="19">
        <f>'FPC wSEB'!Y334-SEB!R334</f>
        <v>156118</v>
      </c>
      <c r="Z334" s="19">
        <f>'FPC wSEB'!Z334-SEB!S334</f>
        <v>2672</v>
      </c>
      <c r="AA334" s="19">
        <f>'FPC wSEB'!AA334-SEB!T334</f>
        <v>1948</v>
      </c>
      <c r="AB334" s="19">
        <f>'FPC wSEB'!AB334-SEB!U334</f>
        <v>19647</v>
      </c>
      <c r="AC334" s="19">
        <f>'FPC wSEB'!AC334</f>
        <v>4</v>
      </c>
      <c r="AD334" s="19">
        <f>'FPC wSEB'!AD334</f>
        <v>18</v>
      </c>
    </row>
    <row r="335" spans="1:30">
      <c r="A335" s="2">
        <f t="shared" si="28"/>
        <v>2002</v>
      </c>
      <c r="B335" s="2">
        <f t="shared" si="29"/>
        <v>6</v>
      </c>
      <c r="C335" s="19">
        <f t="shared" si="30"/>
        <v>3377130</v>
      </c>
      <c r="D335" s="19">
        <f>'FPC wSEB'!D335-SEB!D335</f>
        <v>1601406</v>
      </c>
      <c r="E335" s="19">
        <f>'FPC wSEB'!E335-SEB!E335</f>
        <v>933376</v>
      </c>
      <c r="F335" s="19">
        <f>'FPC wSEB'!F335-SEB!F335</f>
        <v>311115</v>
      </c>
      <c r="G335" s="19">
        <f>'FPC wSEB'!G335-SEB!G335</f>
        <v>67021</v>
      </c>
      <c r="H335" s="20">
        <f>'FPC wSEB'!H335-SEB!H335</f>
        <v>244094</v>
      </c>
      <c r="I335" s="19">
        <f>'FPC wSEB'!I335-SEB!I335</f>
        <v>2329</v>
      </c>
      <c r="J335" s="19">
        <f>'FPC wSEB'!J335-SEB!J335</f>
        <v>235381</v>
      </c>
      <c r="K335" s="19">
        <f>'FPC wSEB'!K335</f>
        <v>108236</v>
      </c>
      <c r="L335" s="19">
        <f>'FPC wSEB'!L335</f>
        <v>185287</v>
      </c>
      <c r="U335" s="2">
        <f t="shared" si="31"/>
        <v>2002</v>
      </c>
      <c r="V335" s="2">
        <f t="shared" si="32"/>
        <v>6</v>
      </c>
      <c r="W335" s="19">
        <f t="shared" si="33"/>
        <v>1389861</v>
      </c>
      <c r="X335" s="19">
        <f>'FPC wSEB'!X335-SEB!Q335</f>
        <v>1225683</v>
      </c>
      <c r="Y335" s="19">
        <f>'FPC wSEB'!Y335-SEB!R335</f>
        <v>141606</v>
      </c>
      <c r="Z335" s="19">
        <f>'FPC wSEB'!Z335-SEB!S335</f>
        <v>2416</v>
      </c>
      <c r="AA335" s="19">
        <f>'FPC wSEB'!AA335-SEB!T335</f>
        <v>1954</v>
      </c>
      <c r="AB335" s="19">
        <f>'FPC wSEB'!AB335-SEB!U335</f>
        <v>18180</v>
      </c>
      <c r="AC335" s="19">
        <f>'FPC wSEB'!AC335</f>
        <v>4</v>
      </c>
      <c r="AD335" s="19">
        <f>'FPC wSEB'!AD335</f>
        <v>18</v>
      </c>
    </row>
    <row r="336" spans="1:30">
      <c r="A336" s="2">
        <f t="shared" si="28"/>
        <v>2002</v>
      </c>
      <c r="B336" s="2">
        <f t="shared" si="29"/>
        <v>7</v>
      </c>
      <c r="C336" s="19">
        <f t="shared" ref="C336:C341" si="34">SUM(D336:F336,I336:L336)</f>
        <v>3711479</v>
      </c>
      <c r="D336" s="19">
        <f>'FPC wSEB'!D336-SEB!D336</f>
        <v>1771038</v>
      </c>
      <c r="E336" s="19">
        <f>'FPC wSEB'!E336-SEB!E336</f>
        <v>1071291</v>
      </c>
      <c r="F336" s="19">
        <f>'FPC wSEB'!F336-SEB!F336</f>
        <v>344275</v>
      </c>
      <c r="G336" s="19">
        <f>'FPC wSEB'!G336-SEB!G336</f>
        <v>80934</v>
      </c>
      <c r="H336" s="20">
        <f>'FPC wSEB'!H336-SEB!H336</f>
        <v>263341</v>
      </c>
      <c r="I336" s="19">
        <f>'FPC wSEB'!I336-SEB!I336</f>
        <v>2481</v>
      </c>
      <c r="J336" s="19">
        <f>'FPC wSEB'!J336-SEB!J336</f>
        <v>235291</v>
      </c>
      <c r="K336" s="19">
        <f>'FPC wSEB'!K336</f>
        <v>82430</v>
      </c>
      <c r="L336" s="19">
        <f>'FPC wSEB'!L336</f>
        <v>204673</v>
      </c>
      <c r="U336" s="2">
        <f t="shared" si="31"/>
        <v>2002</v>
      </c>
      <c r="V336" s="2">
        <f t="shared" si="32"/>
        <v>7</v>
      </c>
      <c r="W336" s="19">
        <f t="shared" si="33"/>
        <v>1502062</v>
      </c>
      <c r="X336" s="19">
        <f>'FPC wSEB'!X336-SEB!Q336</f>
        <v>1324925</v>
      </c>
      <c r="Y336" s="19">
        <f>'FPC wSEB'!Y336-SEB!R336</f>
        <v>153222</v>
      </c>
      <c r="Z336" s="19">
        <f>'FPC wSEB'!Z336-SEB!S336</f>
        <v>2571</v>
      </c>
      <c r="AA336" s="19">
        <f>'FPC wSEB'!AA336-SEB!T336</f>
        <v>1950</v>
      </c>
      <c r="AB336" s="19">
        <f>'FPC wSEB'!AB336-SEB!U336</f>
        <v>19371</v>
      </c>
      <c r="AC336" s="19">
        <f>'FPC wSEB'!AC336</f>
        <v>6</v>
      </c>
      <c r="AD336" s="19">
        <f>'FPC wSEB'!AD336</f>
        <v>17</v>
      </c>
    </row>
    <row r="337" spans="1:30">
      <c r="A337" s="2">
        <f t="shared" si="28"/>
        <v>2002</v>
      </c>
      <c r="B337" s="2">
        <f t="shared" si="29"/>
        <v>8</v>
      </c>
      <c r="C337" s="19">
        <f t="shared" si="34"/>
        <v>3719695</v>
      </c>
      <c r="D337" s="19">
        <f>'FPC wSEB'!D337-SEB!D337</f>
        <v>1817915</v>
      </c>
      <c r="E337" s="19">
        <f>'FPC wSEB'!E337-SEB!E337</f>
        <v>1052628</v>
      </c>
      <c r="F337" s="19">
        <f>'FPC wSEB'!F337-SEB!F337</f>
        <v>312150</v>
      </c>
      <c r="G337" s="19">
        <f>'FPC wSEB'!G337-SEB!G337</f>
        <v>84523</v>
      </c>
      <c r="H337" s="20">
        <f>'FPC wSEB'!H337-SEB!H337</f>
        <v>227627</v>
      </c>
      <c r="I337" s="19">
        <f>'FPC wSEB'!I337-SEB!I337</f>
        <v>2297</v>
      </c>
      <c r="J337" s="19">
        <f>'FPC wSEB'!J337-SEB!J337</f>
        <v>245737</v>
      </c>
      <c r="K337" s="19">
        <f>'FPC wSEB'!K337</f>
        <v>85592</v>
      </c>
      <c r="L337" s="19">
        <f>'FPC wSEB'!L337</f>
        <v>203376</v>
      </c>
      <c r="U337" s="2">
        <f t="shared" si="31"/>
        <v>2002</v>
      </c>
      <c r="V337" s="2">
        <f t="shared" si="32"/>
        <v>8</v>
      </c>
      <c r="W337" s="19">
        <f t="shared" si="33"/>
        <v>1461844</v>
      </c>
      <c r="X337" s="19">
        <f>'FPC wSEB'!X337-SEB!Q337</f>
        <v>1287568</v>
      </c>
      <c r="Y337" s="19">
        <f>'FPC wSEB'!Y337-SEB!R337</f>
        <v>150725</v>
      </c>
      <c r="Z337" s="19">
        <f>'FPC wSEB'!Z337-SEB!S337</f>
        <v>2548</v>
      </c>
      <c r="AA337" s="19">
        <f>'FPC wSEB'!AA337-SEB!T337</f>
        <v>1946</v>
      </c>
      <c r="AB337" s="19">
        <f>'FPC wSEB'!AB337-SEB!U337</f>
        <v>19036</v>
      </c>
      <c r="AC337" s="19">
        <f>'FPC wSEB'!AC337</f>
        <v>4</v>
      </c>
      <c r="AD337" s="19">
        <f>'FPC wSEB'!AD337</f>
        <v>17</v>
      </c>
    </row>
    <row r="338" spans="1:30">
      <c r="A338" s="2">
        <f t="shared" si="28"/>
        <v>2002</v>
      </c>
      <c r="B338" s="2">
        <f t="shared" si="29"/>
        <v>9</v>
      </c>
      <c r="C338" s="19">
        <f t="shared" si="34"/>
        <v>3827164</v>
      </c>
      <c r="D338" s="19">
        <f>'FPC wSEB'!D338-SEB!D338</f>
        <v>1883194</v>
      </c>
      <c r="E338" s="19">
        <f>'FPC wSEB'!E338-SEB!E338</f>
        <v>1059622</v>
      </c>
      <c r="F338" s="19">
        <f>'FPC wSEB'!F338-SEB!F338</f>
        <v>326067</v>
      </c>
      <c r="G338" s="19">
        <f>'FPC wSEB'!G338-SEB!G338</f>
        <v>87313</v>
      </c>
      <c r="H338" s="20">
        <f>'FPC wSEB'!H338-SEB!H338</f>
        <v>238754</v>
      </c>
      <c r="I338" s="19">
        <f>'FPC wSEB'!I338-SEB!I338</f>
        <v>2334</v>
      </c>
      <c r="J338" s="19">
        <f>'FPC wSEB'!J338-SEB!J338</f>
        <v>266792</v>
      </c>
      <c r="K338" s="19">
        <f>'FPC wSEB'!K338</f>
        <v>77706</v>
      </c>
      <c r="L338" s="19">
        <f>'FPC wSEB'!L338</f>
        <v>211449</v>
      </c>
      <c r="U338" s="2">
        <f t="shared" si="31"/>
        <v>2002</v>
      </c>
      <c r="V338" s="2">
        <f t="shared" si="32"/>
        <v>9</v>
      </c>
      <c r="W338" s="19">
        <f t="shared" si="33"/>
        <v>1478146</v>
      </c>
      <c r="X338" s="19">
        <f>'FPC wSEB'!X338-SEB!Q338</f>
        <v>1303838</v>
      </c>
      <c r="Y338" s="19">
        <f>'FPC wSEB'!Y338-SEB!R338</f>
        <v>150734</v>
      </c>
      <c r="Z338" s="19">
        <f>'FPC wSEB'!Z338-SEB!S338</f>
        <v>2513</v>
      </c>
      <c r="AA338" s="19">
        <f>'FPC wSEB'!AA338-SEB!T338</f>
        <v>1949</v>
      </c>
      <c r="AB338" s="19">
        <f>'FPC wSEB'!AB338-SEB!U338</f>
        <v>19090</v>
      </c>
      <c r="AC338" s="19">
        <f>'FPC wSEB'!AC338</f>
        <v>4</v>
      </c>
      <c r="AD338" s="19">
        <f>'FPC wSEB'!AD338</f>
        <v>18</v>
      </c>
    </row>
    <row r="339" spans="1:30">
      <c r="A339" s="2">
        <f t="shared" si="28"/>
        <v>2002</v>
      </c>
      <c r="B339" s="2">
        <f t="shared" si="29"/>
        <v>10</v>
      </c>
      <c r="C339" s="19">
        <f t="shared" si="34"/>
        <v>3606159</v>
      </c>
      <c r="D339" s="19">
        <f>'FPC wSEB'!D339-SEB!D339</f>
        <v>1707841</v>
      </c>
      <c r="E339" s="19">
        <f>'FPC wSEB'!E339-SEB!E339</f>
        <v>1000718</v>
      </c>
      <c r="F339" s="19">
        <f>'FPC wSEB'!F339-SEB!F339</f>
        <v>315122</v>
      </c>
      <c r="G339" s="19">
        <f>'FPC wSEB'!G339-SEB!G339</f>
        <v>79585</v>
      </c>
      <c r="H339" s="20">
        <f>'FPC wSEB'!H339-SEB!H339</f>
        <v>235537</v>
      </c>
      <c r="I339" s="19">
        <f>'FPC wSEB'!I339-SEB!I339</f>
        <v>2301</v>
      </c>
      <c r="J339" s="19">
        <f>'FPC wSEB'!J339-SEB!J339</f>
        <v>260046</v>
      </c>
      <c r="K339" s="19">
        <f>'FPC wSEB'!K339</f>
        <v>102283</v>
      </c>
      <c r="L339" s="19">
        <f>'FPC wSEB'!L339</f>
        <v>217848</v>
      </c>
      <c r="U339" s="2">
        <f t="shared" si="31"/>
        <v>2002</v>
      </c>
      <c r="V339" s="2">
        <f t="shared" si="32"/>
        <v>10</v>
      </c>
      <c r="W339" s="19">
        <f t="shared" ref="W339:W344" si="35">SUM(X339:AD339)</f>
        <v>1420212</v>
      </c>
      <c r="X339" s="19">
        <f>'FPC wSEB'!X339-SEB!Q339</f>
        <v>1252225</v>
      </c>
      <c r="Y339" s="19">
        <f>'FPC wSEB'!Y339-SEB!R339</f>
        <v>145040</v>
      </c>
      <c r="Z339" s="19">
        <f>'FPC wSEB'!Z339-SEB!S339</f>
        <v>2468</v>
      </c>
      <c r="AA339" s="19">
        <f>'FPC wSEB'!AA339-SEB!T339</f>
        <v>1941</v>
      </c>
      <c r="AB339" s="19">
        <f>'FPC wSEB'!AB339-SEB!U339</f>
        <v>18517</v>
      </c>
      <c r="AC339" s="19">
        <f>'FPC wSEB'!AC339</f>
        <v>4</v>
      </c>
      <c r="AD339" s="19">
        <f>'FPC wSEB'!AD339</f>
        <v>17</v>
      </c>
    </row>
    <row r="340" spans="1:30">
      <c r="A340" s="2">
        <f t="shared" si="28"/>
        <v>2002</v>
      </c>
      <c r="B340" s="2">
        <f t="shared" si="29"/>
        <v>11</v>
      </c>
      <c r="C340" s="19">
        <f t="shared" si="34"/>
        <v>3482001</v>
      </c>
      <c r="D340" s="19">
        <f>'FPC wSEB'!D340-SEB!D340</f>
        <v>1534096</v>
      </c>
      <c r="E340" s="19">
        <f>'FPC wSEB'!E340-SEB!E340</f>
        <v>1015610</v>
      </c>
      <c r="F340" s="19">
        <f>'FPC wSEB'!F340-SEB!F340</f>
        <v>322510</v>
      </c>
      <c r="G340" s="19">
        <f>'FPC wSEB'!G340-SEB!G340</f>
        <v>97892</v>
      </c>
      <c r="H340" s="20">
        <f>'FPC wSEB'!H340-SEB!H340</f>
        <v>224618</v>
      </c>
      <c r="I340" s="19">
        <f>'FPC wSEB'!I340-SEB!I340</f>
        <v>2078</v>
      </c>
      <c r="J340" s="19">
        <f>'FPC wSEB'!J340-SEB!J340</f>
        <v>260339</v>
      </c>
      <c r="K340" s="19">
        <f>'FPC wSEB'!K340</f>
        <v>114162</v>
      </c>
      <c r="L340" s="19">
        <f>'FPC wSEB'!L340</f>
        <v>233206</v>
      </c>
      <c r="U340" s="2">
        <f t="shared" si="31"/>
        <v>2002</v>
      </c>
      <c r="V340" s="2">
        <f t="shared" si="32"/>
        <v>11</v>
      </c>
      <c r="W340" s="19">
        <f t="shared" si="35"/>
        <v>1552247</v>
      </c>
      <c r="X340" s="19">
        <f>'FPC wSEB'!X340-SEB!Q340</f>
        <v>1369044</v>
      </c>
      <c r="Y340" s="19">
        <f>'FPC wSEB'!Y340-SEB!R340</f>
        <v>158496</v>
      </c>
      <c r="Z340" s="19">
        <f>'FPC wSEB'!Z340-SEB!S340</f>
        <v>2689</v>
      </c>
      <c r="AA340" s="19">
        <f>'FPC wSEB'!AA340-SEB!T340</f>
        <v>1935</v>
      </c>
      <c r="AB340" s="19">
        <f>'FPC wSEB'!AB340-SEB!U340</f>
        <v>20060</v>
      </c>
      <c r="AC340" s="19">
        <f>'FPC wSEB'!AC340</f>
        <v>4</v>
      </c>
      <c r="AD340" s="19">
        <f>'FPC wSEB'!AD340</f>
        <v>19</v>
      </c>
    </row>
    <row r="341" spans="1:30">
      <c r="A341" s="2">
        <f t="shared" si="28"/>
        <v>2002</v>
      </c>
      <c r="B341" s="2">
        <f t="shared" si="29"/>
        <v>12</v>
      </c>
      <c r="C341" s="19">
        <f t="shared" si="34"/>
        <v>3062538</v>
      </c>
      <c r="D341" s="19">
        <f>'FPC wSEB'!D341-SEB!D341</f>
        <v>1405696</v>
      </c>
      <c r="E341" s="19">
        <f>'FPC wSEB'!E341-SEB!E341</f>
        <v>863441</v>
      </c>
      <c r="F341" s="19">
        <f>'FPC wSEB'!F341-SEB!F341</f>
        <v>338728</v>
      </c>
      <c r="G341" s="19">
        <f>'FPC wSEB'!G341-SEB!G341</f>
        <v>90482</v>
      </c>
      <c r="H341" s="20">
        <f>'FPC wSEB'!H341-SEB!H341</f>
        <v>248246</v>
      </c>
      <c r="I341" s="19">
        <f>'FPC wSEB'!I341-SEB!I341</f>
        <v>2653</v>
      </c>
      <c r="J341" s="19">
        <f>'FPC wSEB'!J341-SEB!J341</f>
        <v>222798</v>
      </c>
      <c r="K341" s="19">
        <f>'FPC wSEB'!K341</f>
        <v>59496</v>
      </c>
      <c r="L341" s="19">
        <f>'FPC wSEB'!L341</f>
        <v>169726</v>
      </c>
      <c r="U341" s="2">
        <f t="shared" si="31"/>
        <v>2002</v>
      </c>
      <c r="V341" s="2">
        <f t="shared" si="32"/>
        <v>12</v>
      </c>
      <c r="W341" s="19">
        <f t="shared" si="35"/>
        <v>1451326</v>
      </c>
      <c r="X341" s="19">
        <f>'FPC wSEB'!X341-SEB!Q341</f>
        <v>1279511</v>
      </c>
      <c r="Y341" s="19">
        <f>'FPC wSEB'!Y341-SEB!R341</f>
        <v>148500</v>
      </c>
      <c r="Z341" s="19">
        <f>'FPC wSEB'!Z341-SEB!S341</f>
        <v>2542</v>
      </c>
      <c r="AA341" s="19">
        <f>'FPC wSEB'!AA341-SEB!T341</f>
        <v>1929</v>
      </c>
      <c r="AB341" s="19">
        <f>'FPC wSEB'!AB341-SEB!U341</f>
        <v>18824</v>
      </c>
      <c r="AC341" s="19">
        <f>'FPC wSEB'!AC341</f>
        <v>4</v>
      </c>
      <c r="AD341" s="19">
        <f>'FPC wSEB'!AD341</f>
        <v>16</v>
      </c>
    </row>
    <row r="342" spans="1:30">
      <c r="A342" s="2">
        <f t="shared" si="28"/>
        <v>2003</v>
      </c>
      <c r="B342" s="2">
        <f t="shared" si="29"/>
        <v>1</v>
      </c>
      <c r="C342" s="19">
        <f t="shared" ref="C342:C347" si="36">SUM(D342:F342,I342:L342)</f>
        <v>3286862</v>
      </c>
      <c r="D342" s="19">
        <f>'FPC wSEB'!D342-SEB!D342</f>
        <v>1739741</v>
      </c>
      <c r="E342" s="19">
        <f>'FPC wSEB'!E342-SEB!E342</f>
        <v>811266</v>
      </c>
      <c r="F342" s="19">
        <f>'FPC wSEB'!F342-SEB!F342</f>
        <v>297066</v>
      </c>
      <c r="G342" s="19">
        <f>'FPC wSEB'!G342-SEB!G342</f>
        <v>83782</v>
      </c>
      <c r="H342" s="20">
        <f>'FPC wSEB'!H342-SEB!H342</f>
        <v>213284</v>
      </c>
      <c r="I342" s="19">
        <f>'FPC wSEB'!I342-SEB!I342</f>
        <v>2347</v>
      </c>
      <c r="J342" s="19">
        <f>'FPC wSEB'!J342-SEB!J342</f>
        <v>212778</v>
      </c>
      <c r="K342" s="19">
        <f>'FPC wSEB'!K342</f>
        <v>72027</v>
      </c>
      <c r="L342" s="19">
        <f>'FPC wSEB'!L342</f>
        <v>151637</v>
      </c>
      <c r="U342" s="2">
        <f t="shared" si="31"/>
        <v>2003</v>
      </c>
      <c r="V342" s="2">
        <f t="shared" si="32"/>
        <v>1</v>
      </c>
      <c r="W342" s="19">
        <f t="shared" si="35"/>
        <v>1477106</v>
      </c>
      <c r="X342" s="19">
        <f>'FPC wSEB'!X342-SEB!Q342</f>
        <v>1303536</v>
      </c>
      <c r="Y342" s="19">
        <f>'FPC wSEB'!Y342-SEB!R342</f>
        <v>149909</v>
      </c>
      <c r="Z342" s="19">
        <f>'FPC wSEB'!Z342-SEB!S342</f>
        <v>2568</v>
      </c>
      <c r="AA342" s="19">
        <f>'FPC wSEB'!AA342-SEB!T342</f>
        <v>1918</v>
      </c>
      <c r="AB342" s="19">
        <f>'FPC wSEB'!AB342-SEB!U342</f>
        <v>19155</v>
      </c>
      <c r="AC342" s="19">
        <f>'FPC wSEB'!AC342</f>
        <v>4</v>
      </c>
      <c r="AD342" s="19">
        <f>'FPC wSEB'!AD342</f>
        <v>16</v>
      </c>
    </row>
    <row r="343" spans="1:30">
      <c r="A343" s="2">
        <f t="shared" si="28"/>
        <v>2003</v>
      </c>
      <c r="B343" s="2">
        <f t="shared" si="29"/>
        <v>2</v>
      </c>
      <c r="C343" s="19">
        <f t="shared" si="36"/>
        <v>3196843</v>
      </c>
      <c r="D343" s="19">
        <f>'FPC wSEB'!D343-SEB!D343</f>
        <v>1595020</v>
      </c>
      <c r="E343" s="19">
        <f>'FPC wSEB'!E343-SEB!E343</f>
        <v>781836</v>
      </c>
      <c r="F343" s="19">
        <f>'FPC wSEB'!F343-SEB!F343</f>
        <v>322148</v>
      </c>
      <c r="G343" s="19">
        <f>'FPC wSEB'!G343-SEB!G343</f>
        <v>107708</v>
      </c>
      <c r="H343" s="20">
        <f>'FPC wSEB'!H343-SEB!H343</f>
        <v>214440</v>
      </c>
      <c r="I343" s="19">
        <f>'FPC wSEB'!I343-SEB!I343</f>
        <v>2457</v>
      </c>
      <c r="J343" s="19">
        <f>'FPC wSEB'!J343-SEB!J343</f>
        <v>215935</v>
      </c>
      <c r="K343" s="19">
        <f>'FPC wSEB'!K343</f>
        <v>70938</v>
      </c>
      <c r="L343" s="19">
        <f>'FPC wSEB'!L343</f>
        <v>208509</v>
      </c>
      <c r="U343" s="2">
        <f t="shared" si="31"/>
        <v>2003</v>
      </c>
      <c r="V343" s="2">
        <f t="shared" si="32"/>
        <v>2</v>
      </c>
      <c r="W343" s="19">
        <f t="shared" si="35"/>
        <v>1491594</v>
      </c>
      <c r="X343" s="19">
        <f>'FPC wSEB'!X343-SEB!Q343</f>
        <v>1317155</v>
      </c>
      <c r="Y343" s="19">
        <f>'FPC wSEB'!Y343-SEB!R343</f>
        <v>150642</v>
      </c>
      <c r="Z343" s="19">
        <f>'FPC wSEB'!Z343-SEB!S343</f>
        <v>2560</v>
      </c>
      <c r="AA343" s="19">
        <f>'FPC wSEB'!AA343-SEB!T343</f>
        <v>1920</v>
      </c>
      <c r="AB343" s="19">
        <f>'FPC wSEB'!AB343-SEB!U343</f>
        <v>19296</v>
      </c>
      <c r="AC343" s="19">
        <f>'FPC wSEB'!AC343</f>
        <v>4</v>
      </c>
      <c r="AD343" s="19">
        <f>'FPC wSEB'!AD343</f>
        <v>17</v>
      </c>
    </row>
    <row r="344" spans="1:30">
      <c r="A344" s="2">
        <f t="shared" si="28"/>
        <v>2003</v>
      </c>
      <c r="B344" s="2">
        <f t="shared" si="29"/>
        <v>3</v>
      </c>
      <c r="C344" s="19">
        <f t="shared" si="36"/>
        <v>2773973</v>
      </c>
      <c r="D344" s="19">
        <f>'FPC wSEB'!D344-SEB!D344</f>
        <v>1184949</v>
      </c>
      <c r="E344" s="19">
        <f>'FPC wSEB'!E344-SEB!E344</f>
        <v>829079</v>
      </c>
      <c r="F344" s="19">
        <f>'FPC wSEB'!F344-SEB!F344</f>
        <v>296388</v>
      </c>
      <c r="G344" s="19">
        <f>'FPC wSEB'!G344-SEB!G344</f>
        <v>76074</v>
      </c>
      <c r="H344" s="20">
        <f>'FPC wSEB'!H344-SEB!H344</f>
        <v>220314</v>
      </c>
      <c r="I344" s="19">
        <f>'FPC wSEB'!I344-SEB!I344</f>
        <v>2278</v>
      </c>
      <c r="J344" s="19">
        <f>'FPC wSEB'!J344-SEB!J344</f>
        <v>216391</v>
      </c>
      <c r="K344" s="19">
        <f>'FPC wSEB'!K344</f>
        <v>85242</v>
      </c>
      <c r="L344" s="19">
        <f>'FPC wSEB'!L344</f>
        <v>159646</v>
      </c>
      <c r="U344" s="2">
        <f t="shared" si="31"/>
        <v>2003</v>
      </c>
      <c r="V344" s="2">
        <f t="shared" si="32"/>
        <v>3</v>
      </c>
      <c r="W344" s="19">
        <f t="shared" si="35"/>
        <v>1469735</v>
      </c>
      <c r="X344" s="19">
        <f>'FPC wSEB'!X344-SEB!Q344</f>
        <v>1297505</v>
      </c>
      <c r="Y344" s="19">
        <f>'FPC wSEB'!Y344-SEB!R344</f>
        <v>148750</v>
      </c>
      <c r="Z344" s="19">
        <f>'FPC wSEB'!Z344-SEB!S344</f>
        <v>2550</v>
      </c>
      <c r="AA344" s="19">
        <f>'FPC wSEB'!AA344-SEB!T344</f>
        <v>1926</v>
      </c>
      <c r="AB344" s="19">
        <f>'FPC wSEB'!AB344-SEB!U344</f>
        <v>18982</v>
      </c>
      <c r="AC344" s="19">
        <f>'FPC wSEB'!AC344</f>
        <v>5</v>
      </c>
      <c r="AD344" s="19">
        <f>'FPC wSEB'!AD344</f>
        <v>17</v>
      </c>
    </row>
    <row r="345" spans="1:30">
      <c r="A345" s="2">
        <f t="shared" si="28"/>
        <v>2003</v>
      </c>
      <c r="B345" s="2">
        <f t="shared" si="29"/>
        <v>4</v>
      </c>
      <c r="C345" s="19">
        <f t="shared" si="36"/>
        <v>2995409</v>
      </c>
      <c r="D345" s="19">
        <f>'FPC wSEB'!D345-SEB!D345</f>
        <v>1285580</v>
      </c>
      <c r="E345" s="19">
        <f>'FPC wSEB'!E345-SEB!E345</f>
        <v>890523</v>
      </c>
      <c r="F345" s="19">
        <f>'FPC wSEB'!F345-SEB!F345</f>
        <v>325197</v>
      </c>
      <c r="G345" s="19">
        <f>'FPC wSEB'!G345-SEB!G345</f>
        <v>81792</v>
      </c>
      <c r="H345" s="20">
        <f>'FPC wSEB'!H345-SEB!H345</f>
        <v>243405</v>
      </c>
      <c r="I345" s="19">
        <f>'FPC wSEB'!I345-SEB!I345</f>
        <v>2422</v>
      </c>
      <c r="J345" s="19">
        <f>'FPC wSEB'!J345-SEB!J345</f>
        <v>224051</v>
      </c>
      <c r="K345" s="19">
        <f>'FPC wSEB'!K345</f>
        <v>65118</v>
      </c>
      <c r="L345" s="19">
        <f>'FPC wSEB'!L345</f>
        <v>202518</v>
      </c>
      <c r="U345" s="2">
        <f t="shared" si="31"/>
        <v>2003</v>
      </c>
      <c r="V345" s="2">
        <f t="shared" si="32"/>
        <v>4</v>
      </c>
      <c r="W345" s="19">
        <f t="shared" ref="W345:W350" si="37">SUM(X345:AD345)</f>
        <v>1500648</v>
      </c>
      <c r="X345" s="19">
        <f>'FPC wSEB'!X345-SEB!Q345</f>
        <v>1322935</v>
      </c>
      <c r="Y345" s="19">
        <f>'FPC wSEB'!Y345-SEB!R345</f>
        <v>153640</v>
      </c>
      <c r="Z345" s="19">
        <f>'FPC wSEB'!Z345-SEB!S345</f>
        <v>2612</v>
      </c>
      <c r="AA345" s="19">
        <f>'FPC wSEB'!AA345-SEB!T345</f>
        <v>1913</v>
      </c>
      <c r="AB345" s="19">
        <f>'FPC wSEB'!AB345-SEB!U345</f>
        <v>19525</v>
      </c>
      <c r="AC345" s="19">
        <f>'FPC wSEB'!AC345</f>
        <v>5</v>
      </c>
      <c r="AD345" s="19">
        <f>'FPC wSEB'!AD345</f>
        <v>18</v>
      </c>
    </row>
    <row r="346" spans="1:30">
      <c r="A346" s="2">
        <f t="shared" si="28"/>
        <v>2003</v>
      </c>
      <c r="B346" s="2">
        <f t="shared" si="29"/>
        <v>5</v>
      </c>
      <c r="C346" s="19">
        <f t="shared" si="36"/>
        <v>3335202</v>
      </c>
      <c r="D346" s="19">
        <f>'FPC wSEB'!D346-SEB!D346</f>
        <v>1553089</v>
      </c>
      <c r="E346" s="19">
        <f>'FPC wSEB'!E346-SEB!E346</f>
        <v>978616</v>
      </c>
      <c r="F346" s="19">
        <f>'FPC wSEB'!F346-SEB!F346</f>
        <v>306030</v>
      </c>
      <c r="G346" s="19">
        <f>'FPC wSEB'!G346-SEB!G346</f>
        <v>73709</v>
      </c>
      <c r="H346" s="20">
        <f>'FPC wSEB'!H346-SEB!H346</f>
        <v>232321</v>
      </c>
      <c r="I346" s="19">
        <f>'FPC wSEB'!I346-SEB!I346</f>
        <v>2357</v>
      </c>
      <c r="J346" s="19">
        <f>'FPC wSEB'!J346-SEB!J346</f>
        <v>245080</v>
      </c>
      <c r="K346" s="19">
        <f>'FPC wSEB'!K346</f>
        <v>66641</v>
      </c>
      <c r="L346" s="19">
        <f>'FPC wSEB'!L346</f>
        <v>183389</v>
      </c>
      <c r="U346" s="2">
        <f t="shared" si="31"/>
        <v>2003</v>
      </c>
      <c r="V346" s="2">
        <f t="shared" si="32"/>
        <v>5</v>
      </c>
      <c r="W346" s="19">
        <f t="shared" si="37"/>
        <v>1490071</v>
      </c>
      <c r="X346" s="19">
        <f>'FPC wSEB'!X346-SEB!Q346</f>
        <v>1313219</v>
      </c>
      <c r="Y346" s="19">
        <f>'FPC wSEB'!Y346-SEB!R346</f>
        <v>152881</v>
      </c>
      <c r="Z346" s="19">
        <f>'FPC wSEB'!Z346-SEB!S346</f>
        <v>2616</v>
      </c>
      <c r="AA346" s="19">
        <f>'FPC wSEB'!AA346-SEB!T346</f>
        <v>1909</v>
      </c>
      <c r="AB346" s="19">
        <f>'FPC wSEB'!AB346-SEB!U346</f>
        <v>19422</v>
      </c>
      <c r="AC346" s="19">
        <f>'FPC wSEB'!AC346</f>
        <v>5</v>
      </c>
      <c r="AD346" s="19">
        <f>'FPC wSEB'!AD346</f>
        <v>19</v>
      </c>
    </row>
    <row r="347" spans="1:30">
      <c r="A347" s="2">
        <f t="shared" si="28"/>
        <v>2003</v>
      </c>
      <c r="B347" s="2">
        <f t="shared" si="29"/>
        <v>6</v>
      </c>
      <c r="C347" s="19">
        <f t="shared" si="36"/>
        <v>3783253</v>
      </c>
      <c r="D347" s="19">
        <f>'FPC wSEB'!D347-SEB!D347</f>
        <v>1835655</v>
      </c>
      <c r="E347" s="19">
        <f>'FPC wSEB'!E347-SEB!E347</f>
        <v>1060184</v>
      </c>
      <c r="F347" s="19">
        <f>'FPC wSEB'!F347-SEB!F347</f>
        <v>376371</v>
      </c>
      <c r="G347" s="19">
        <f>'FPC wSEB'!G347-SEB!G347</f>
        <v>108103</v>
      </c>
      <c r="H347" s="20">
        <f>'FPC wSEB'!H347-SEB!H347</f>
        <v>268268</v>
      </c>
      <c r="I347" s="19">
        <f>'FPC wSEB'!I347-SEB!I347</f>
        <v>2387</v>
      </c>
      <c r="J347" s="19">
        <f>'FPC wSEB'!J347-SEB!J347</f>
        <v>260308</v>
      </c>
      <c r="K347" s="19">
        <f>'FPC wSEB'!K347</f>
        <v>86744</v>
      </c>
      <c r="L347" s="19">
        <f>'FPC wSEB'!L347</f>
        <v>161604</v>
      </c>
      <c r="U347" s="2">
        <f t="shared" si="31"/>
        <v>2003</v>
      </c>
      <c r="V347" s="2">
        <f t="shared" si="32"/>
        <v>6</v>
      </c>
      <c r="W347" s="19">
        <f t="shared" si="37"/>
        <v>1484452</v>
      </c>
      <c r="X347" s="19">
        <f>'FPC wSEB'!X347-SEB!Q347</f>
        <v>1309456</v>
      </c>
      <c r="Y347" s="19">
        <f>'FPC wSEB'!Y347-SEB!R347</f>
        <v>151263</v>
      </c>
      <c r="Z347" s="19">
        <f>'FPC wSEB'!Z347-SEB!S347</f>
        <v>2647</v>
      </c>
      <c r="AA347" s="19">
        <f>'FPC wSEB'!AA347-SEB!T347</f>
        <v>1908</v>
      </c>
      <c r="AB347" s="19">
        <f>'FPC wSEB'!AB347-SEB!U347</f>
        <v>19158</v>
      </c>
      <c r="AC347" s="19">
        <f>'FPC wSEB'!AC347</f>
        <v>4</v>
      </c>
      <c r="AD347" s="19">
        <f>'FPC wSEB'!AD347</f>
        <v>16</v>
      </c>
    </row>
    <row r="348" spans="1:30">
      <c r="A348" s="2">
        <f t="shared" si="28"/>
        <v>2003</v>
      </c>
      <c r="B348" s="2">
        <f t="shared" si="29"/>
        <v>7</v>
      </c>
      <c r="C348" s="19">
        <f t="shared" ref="C348:C353" si="38">SUM(D348:F348,I348:L348)</f>
        <v>3883500</v>
      </c>
      <c r="D348" s="19">
        <f>'FPC wSEB'!D348-SEB!D348</f>
        <v>1899082</v>
      </c>
      <c r="E348" s="19">
        <f>'FPC wSEB'!E348-SEB!E348</f>
        <v>1091239</v>
      </c>
      <c r="F348" s="19">
        <f>'FPC wSEB'!F348-SEB!F348</f>
        <v>336663</v>
      </c>
      <c r="G348" s="19">
        <f>'FPC wSEB'!G348-SEB!G348</f>
        <v>101850</v>
      </c>
      <c r="H348" s="20">
        <f>'FPC wSEB'!H348-SEB!H348</f>
        <v>234813</v>
      </c>
      <c r="I348" s="19">
        <f>'FPC wSEB'!I348-SEB!I348</f>
        <v>2368</v>
      </c>
      <c r="J348" s="19">
        <f>'FPC wSEB'!J348-SEB!J348</f>
        <v>251514</v>
      </c>
      <c r="K348" s="19">
        <f>'FPC wSEB'!K348</f>
        <v>87359</v>
      </c>
      <c r="L348" s="19">
        <f>'FPC wSEB'!L348</f>
        <v>215275</v>
      </c>
      <c r="U348" s="2">
        <f t="shared" si="31"/>
        <v>2003</v>
      </c>
      <c r="V348" s="2">
        <f t="shared" si="32"/>
        <v>7</v>
      </c>
      <c r="W348" s="19">
        <f t="shared" si="37"/>
        <v>1499572</v>
      </c>
      <c r="X348" s="19">
        <f>'FPC wSEB'!X348-SEB!Q348</f>
        <v>1321898</v>
      </c>
      <c r="Y348" s="19">
        <f>'FPC wSEB'!Y348-SEB!R348</f>
        <v>153463</v>
      </c>
      <c r="Z348" s="19">
        <f>'FPC wSEB'!Z348-SEB!S348</f>
        <v>2652</v>
      </c>
      <c r="AA348" s="19">
        <f>'FPC wSEB'!AA348-SEB!T348</f>
        <v>1907</v>
      </c>
      <c r="AB348" s="19">
        <f>'FPC wSEB'!AB348-SEB!U348</f>
        <v>19632</v>
      </c>
      <c r="AC348" s="19">
        <f>'FPC wSEB'!AC348</f>
        <v>4</v>
      </c>
      <c r="AD348" s="19">
        <f>'FPC wSEB'!AD348</f>
        <v>16</v>
      </c>
    </row>
    <row r="349" spans="1:30">
      <c r="A349" s="2">
        <f t="shared" si="28"/>
        <v>2003</v>
      </c>
      <c r="B349" s="2">
        <f t="shared" si="29"/>
        <v>8</v>
      </c>
      <c r="C349" s="19">
        <f t="shared" si="38"/>
        <v>3779013</v>
      </c>
      <c r="D349" s="19">
        <f>'FPC wSEB'!D349-SEB!D349</f>
        <v>1844445</v>
      </c>
      <c r="E349" s="19">
        <f>'FPC wSEB'!E349-SEB!E349</f>
        <v>1073434</v>
      </c>
      <c r="F349" s="19">
        <f>'FPC wSEB'!F349-SEB!F349</f>
        <v>342637</v>
      </c>
      <c r="G349" s="19">
        <f>'FPC wSEB'!G349-SEB!G349</f>
        <v>105447</v>
      </c>
      <c r="H349" s="20">
        <f>'FPC wSEB'!H349-SEB!H349</f>
        <v>237190</v>
      </c>
      <c r="I349" s="19">
        <f>'FPC wSEB'!I349-SEB!I349</f>
        <v>2435</v>
      </c>
      <c r="J349" s="19">
        <f>'FPC wSEB'!J349-SEB!J349</f>
        <v>242914</v>
      </c>
      <c r="K349" s="19">
        <f>'FPC wSEB'!K349</f>
        <v>38687</v>
      </c>
      <c r="L349" s="19">
        <f>'FPC wSEB'!L349</f>
        <v>234461</v>
      </c>
      <c r="U349" s="2">
        <f t="shared" si="31"/>
        <v>2003</v>
      </c>
      <c r="V349" s="2">
        <f t="shared" si="32"/>
        <v>8</v>
      </c>
      <c r="W349" s="19">
        <f t="shared" si="37"/>
        <v>1489443</v>
      </c>
      <c r="X349" s="19">
        <f>'FPC wSEB'!X349-SEB!Q349</f>
        <v>1312997</v>
      </c>
      <c r="Y349" s="19">
        <f>'FPC wSEB'!Y349-SEB!R349</f>
        <v>152387</v>
      </c>
      <c r="Z349" s="19">
        <f>'FPC wSEB'!Z349-SEB!S349</f>
        <v>2661</v>
      </c>
      <c r="AA349" s="19">
        <f>'FPC wSEB'!AA349-SEB!T349</f>
        <v>1899</v>
      </c>
      <c r="AB349" s="19">
        <f>'FPC wSEB'!AB349-SEB!U349</f>
        <v>19479</v>
      </c>
      <c r="AC349" s="19">
        <f>'FPC wSEB'!AC349</f>
        <v>3</v>
      </c>
      <c r="AD349" s="19">
        <f>'FPC wSEB'!AD349</f>
        <v>17</v>
      </c>
    </row>
    <row r="350" spans="1:30">
      <c r="A350" s="2">
        <f t="shared" si="28"/>
        <v>2003</v>
      </c>
      <c r="B350" s="2">
        <f t="shared" si="29"/>
        <v>9</v>
      </c>
      <c r="C350" s="19">
        <f t="shared" si="38"/>
        <v>4142767</v>
      </c>
      <c r="D350" s="19">
        <f>'FPC wSEB'!D350-SEB!D350</f>
        <v>1963634</v>
      </c>
      <c r="E350" s="19">
        <f>'FPC wSEB'!E350-SEB!E350</f>
        <v>1145831</v>
      </c>
      <c r="F350" s="19">
        <f>'FPC wSEB'!F350-SEB!F350</f>
        <v>348179</v>
      </c>
      <c r="G350" s="19">
        <f>'FPC wSEB'!G350-SEB!G350</f>
        <v>103657</v>
      </c>
      <c r="H350" s="20">
        <f>'FPC wSEB'!H350-SEB!H350</f>
        <v>244522</v>
      </c>
      <c r="I350" s="19">
        <f>'FPC wSEB'!I350-SEB!I350</f>
        <v>2413</v>
      </c>
      <c r="J350" s="19">
        <f>'FPC wSEB'!J350-SEB!J350</f>
        <v>298749</v>
      </c>
      <c r="K350" s="19">
        <f>'FPC wSEB'!K350</f>
        <v>151616</v>
      </c>
      <c r="L350" s="19">
        <f>'FPC wSEB'!L350</f>
        <v>232345</v>
      </c>
      <c r="U350" s="2">
        <f t="shared" si="31"/>
        <v>2003</v>
      </c>
      <c r="V350" s="2">
        <f t="shared" si="32"/>
        <v>9</v>
      </c>
      <c r="W350" s="19">
        <f t="shared" si="37"/>
        <v>1522520</v>
      </c>
      <c r="X350" s="19">
        <f>'FPC wSEB'!X350-SEB!Q350</f>
        <v>1342444</v>
      </c>
      <c r="Y350" s="19">
        <f>'FPC wSEB'!Y350-SEB!R350</f>
        <v>155635</v>
      </c>
      <c r="Z350" s="19">
        <f>'FPC wSEB'!Z350-SEB!S350</f>
        <v>2680</v>
      </c>
      <c r="AA350" s="19">
        <f>'FPC wSEB'!AA350-SEB!T350</f>
        <v>1890</v>
      </c>
      <c r="AB350" s="19">
        <f>'FPC wSEB'!AB350-SEB!U350</f>
        <v>19848</v>
      </c>
      <c r="AC350" s="19">
        <f>'FPC wSEB'!AC350</f>
        <v>6</v>
      </c>
      <c r="AD350" s="19">
        <f>'FPC wSEB'!AD350</f>
        <v>17</v>
      </c>
    </row>
    <row r="351" spans="1:30">
      <c r="A351" s="2">
        <f t="shared" si="28"/>
        <v>2003</v>
      </c>
      <c r="B351" s="2">
        <f t="shared" si="29"/>
        <v>10</v>
      </c>
      <c r="C351" s="19">
        <f t="shared" si="38"/>
        <v>3554390</v>
      </c>
      <c r="D351" s="19">
        <f>'FPC wSEB'!D351-SEB!D351</f>
        <v>1602810</v>
      </c>
      <c r="E351" s="19">
        <f>'FPC wSEB'!E351-SEB!E351</f>
        <v>979435</v>
      </c>
      <c r="F351" s="19">
        <f>'FPC wSEB'!F351-SEB!F351</f>
        <v>378357</v>
      </c>
      <c r="G351" s="19">
        <f>'FPC wSEB'!G351-SEB!G351</f>
        <v>103286</v>
      </c>
      <c r="H351" s="20">
        <f>'FPC wSEB'!H351-SEB!H351</f>
        <v>275071</v>
      </c>
      <c r="I351" s="19">
        <f>'FPC wSEB'!I351-SEB!I351</f>
        <v>2309</v>
      </c>
      <c r="J351" s="19">
        <f>'FPC wSEB'!J351-SEB!J351</f>
        <v>267787</v>
      </c>
      <c r="K351" s="19">
        <f>'FPC wSEB'!K351</f>
        <v>83959</v>
      </c>
      <c r="L351" s="19">
        <f>'FPC wSEB'!L351</f>
        <v>239733</v>
      </c>
      <c r="U351" s="2">
        <f t="shared" si="31"/>
        <v>2003</v>
      </c>
      <c r="V351" s="2">
        <f t="shared" si="32"/>
        <v>10</v>
      </c>
      <c r="W351" s="19">
        <f t="shared" ref="W351:W356" si="39">SUM(X351:AD351)</f>
        <v>1519637</v>
      </c>
      <c r="X351" s="19">
        <f>'FPC wSEB'!X351-SEB!Q351</f>
        <v>1339688</v>
      </c>
      <c r="Y351" s="19">
        <f>'FPC wSEB'!Y351-SEB!R351</f>
        <v>155528</v>
      </c>
      <c r="Z351" s="19">
        <f>'FPC wSEB'!Z351-SEB!S351</f>
        <v>2731</v>
      </c>
      <c r="AA351" s="19">
        <f>'FPC wSEB'!AA351-SEB!T351</f>
        <v>1884</v>
      </c>
      <c r="AB351" s="19">
        <f>'FPC wSEB'!AB351-SEB!U351</f>
        <v>19785</v>
      </c>
      <c r="AC351" s="19">
        <f>'FPC wSEB'!AC351</f>
        <v>5</v>
      </c>
      <c r="AD351" s="19">
        <f>'FPC wSEB'!AD351</f>
        <v>16</v>
      </c>
    </row>
    <row r="352" spans="1:30">
      <c r="A352" s="2">
        <f t="shared" si="28"/>
        <v>2003</v>
      </c>
      <c r="B352" s="2">
        <f t="shared" si="29"/>
        <v>11</v>
      </c>
      <c r="C352" s="19">
        <f t="shared" si="38"/>
        <v>3288967</v>
      </c>
      <c r="D352" s="19">
        <f>'FPC wSEB'!D352-SEB!D352</f>
        <v>1392752</v>
      </c>
      <c r="E352" s="19">
        <f>'FPC wSEB'!E352-SEB!E352</f>
        <v>950667</v>
      </c>
      <c r="F352" s="19">
        <f>'FPC wSEB'!F352-SEB!F352</f>
        <v>376348</v>
      </c>
      <c r="G352" s="19">
        <f>'FPC wSEB'!G352-SEB!G352</f>
        <v>120278</v>
      </c>
      <c r="H352" s="20">
        <f>'FPC wSEB'!H352-SEB!H352</f>
        <v>256070</v>
      </c>
      <c r="I352" s="19">
        <f>'FPC wSEB'!I352-SEB!I352</f>
        <v>2259</v>
      </c>
      <c r="J352" s="19">
        <f>'FPC wSEB'!J352-SEB!J352</f>
        <v>255267</v>
      </c>
      <c r="K352" s="19">
        <f>'FPC wSEB'!K352</f>
        <v>84179</v>
      </c>
      <c r="L352" s="19">
        <f>'FPC wSEB'!L352</f>
        <v>227495</v>
      </c>
      <c r="U352" s="2">
        <f t="shared" si="31"/>
        <v>2003</v>
      </c>
      <c r="V352" s="2">
        <f t="shared" si="32"/>
        <v>11</v>
      </c>
      <c r="W352" s="19">
        <f t="shared" si="39"/>
        <v>1517735</v>
      </c>
      <c r="X352" s="19">
        <f>'FPC wSEB'!X352-SEB!Q352</f>
        <v>1338478</v>
      </c>
      <c r="Y352" s="19">
        <f>'FPC wSEB'!Y352-SEB!R352</f>
        <v>154813</v>
      </c>
      <c r="Z352" s="19">
        <f>'FPC wSEB'!Z352-SEB!S352</f>
        <v>2691</v>
      </c>
      <c r="AA352" s="19">
        <f>'FPC wSEB'!AA352-SEB!T352</f>
        <v>1880</v>
      </c>
      <c r="AB352" s="19">
        <f>'FPC wSEB'!AB352-SEB!U352</f>
        <v>19845</v>
      </c>
      <c r="AC352" s="19">
        <f>'FPC wSEB'!AC352</f>
        <v>7</v>
      </c>
      <c r="AD352" s="19">
        <f>'FPC wSEB'!AD352</f>
        <v>21</v>
      </c>
    </row>
    <row r="353" spans="1:30">
      <c r="A353" s="2">
        <f t="shared" si="28"/>
        <v>2003</v>
      </c>
      <c r="B353" s="2">
        <f t="shared" si="29"/>
        <v>12</v>
      </c>
      <c r="C353" s="19">
        <f t="shared" si="38"/>
        <v>3068768</v>
      </c>
      <c r="D353" s="19">
        <f>'FPC wSEB'!D353-SEB!D353</f>
        <v>1410847</v>
      </c>
      <c r="E353" s="19">
        <f>'FPC wSEB'!E353-SEB!E353</f>
        <v>874828</v>
      </c>
      <c r="F353" s="19">
        <f>'FPC wSEB'!F353-SEB!F353</f>
        <v>294584</v>
      </c>
      <c r="G353" s="19">
        <f>'FPC wSEB'!G353-SEB!G353</f>
        <v>68317</v>
      </c>
      <c r="H353" s="20">
        <f>'FPC wSEB'!H353-SEB!H353</f>
        <v>226267</v>
      </c>
      <c r="I353" s="19">
        <f>'FPC wSEB'!I353-SEB!I353</f>
        <v>2499</v>
      </c>
      <c r="J353" s="19">
        <f>'FPC wSEB'!J353-SEB!J353</f>
        <v>235700</v>
      </c>
      <c r="K353" s="19">
        <f>'FPC wSEB'!K353</f>
        <v>73798</v>
      </c>
      <c r="L353" s="19">
        <f>'FPC wSEB'!L353</f>
        <v>176512</v>
      </c>
      <c r="U353" s="2">
        <f t="shared" si="31"/>
        <v>2003</v>
      </c>
      <c r="V353" s="2">
        <f t="shared" si="32"/>
        <v>12</v>
      </c>
      <c r="W353" s="19">
        <f t="shared" si="39"/>
        <v>1506504</v>
      </c>
      <c r="X353" s="19">
        <f>'FPC wSEB'!X353-SEB!Q353</f>
        <v>1327863</v>
      </c>
      <c r="Y353" s="19">
        <f>'FPC wSEB'!Y353-SEB!R353</f>
        <v>154031</v>
      </c>
      <c r="Z353" s="19">
        <f>'FPC wSEB'!Z353-SEB!S353</f>
        <v>2688</v>
      </c>
      <c r="AA353" s="19">
        <f>'FPC wSEB'!AA353-SEB!T353</f>
        <v>1875</v>
      </c>
      <c r="AB353" s="19">
        <f>'FPC wSEB'!AB353-SEB!U353</f>
        <v>20027</v>
      </c>
      <c r="AC353" s="19">
        <f>'FPC wSEB'!AC353</f>
        <v>5</v>
      </c>
      <c r="AD353" s="19">
        <f>'FPC wSEB'!AD353</f>
        <v>15</v>
      </c>
    </row>
    <row r="354" spans="1:30">
      <c r="A354" s="2">
        <f t="shared" si="28"/>
        <v>2004</v>
      </c>
      <c r="B354" s="2">
        <f t="shared" si="29"/>
        <v>1</v>
      </c>
      <c r="C354" s="19">
        <f t="shared" ref="C354:C359" si="40">SUM(D354:F354,I354:L354)</f>
        <v>3303632</v>
      </c>
      <c r="D354" s="19">
        <f>'FPC wSEB'!D354-SEB!D354</f>
        <v>1589185</v>
      </c>
      <c r="E354" s="19">
        <f>'FPC wSEB'!E354-SEB!E354</f>
        <v>875178</v>
      </c>
      <c r="F354" s="19">
        <f>'FPC wSEB'!F354-SEB!F354</f>
        <v>349720</v>
      </c>
      <c r="G354" s="19">
        <f>'FPC wSEB'!G354-SEB!G354</f>
        <v>123552</v>
      </c>
      <c r="H354" s="20">
        <f>'FPC wSEB'!H354-SEB!H354</f>
        <v>226168</v>
      </c>
      <c r="I354" s="19">
        <f>'FPC wSEB'!I354-SEB!I354</f>
        <v>2332</v>
      </c>
      <c r="J354" s="19">
        <f>'FPC wSEB'!J354-SEB!J354</f>
        <v>221412</v>
      </c>
      <c r="K354" s="19">
        <f>'FPC wSEB'!K354</f>
        <v>65595</v>
      </c>
      <c r="L354" s="19">
        <f>'FPC wSEB'!L354</f>
        <v>200210</v>
      </c>
      <c r="U354" s="2">
        <f t="shared" si="31"/>
        <v>2004</v>
      </c>
      <c r="V354" s="2">
        <f t="shared" si="32"/>
        <v>1</v>
      </c>
      <c r="W354" s="19">
        <f t="shared" si="39"/>
        <v>1515272</v>
      </c>
      <c r="X354" s="19">
        <f>'FPC wSEB'!X354-SEB!Q354</f>
        <v>1336900</v>
      </c>
      <c r="Y354" s="19">
        <f>'FPC wSEB'!Y354-SEB!R354</f>
        <v>153730</v>
      </c>
      <c r="Z354" s="19">
        <f>'FPC wSEB'!Z354-SEB!S354</f>
        <v>2722</v>
      </c>
      <c r="AA354" s="19">
        <f>'FPC wSEB'!AA354-SEB!T354</f>
        <v>1871</v>
      </c>
      <c r="AB354" s="19">
        <f>'FPC wSEB'!AB354-SEB!U354</f>
        <v>20028</v>
      </c>
      <c r="AC354" s="19">
        <f>'FPC wSEB'!AC354</f>
        <v>5</v>
      </c>
      <c r="AD354" s="19">
        <f>'FPC wSEB'!AD354</f>
        <v>16</v>
      </c>
    </row>
    <row r="355" spans="1:30">
      <c r="A355" s="2">
        <f t="shared" si="28"/>
        <v>2004</v>
      </c>
      <c r="B355" s="2">
        <f t="shared" si="29"/>
        <v>2</v>
      </c>
      <c r="C355" s="19">
        <f t="shared" si="40"/>
        <v>2909921</v>
      </c>
      <c r="D355" s="19">
        <f>'FPC wSEB'!D355-SEB!D355</f>
        <v>1376233</v>
      </c>
      <c r="E355" s="19">
        <f>'FPC wSEB'!E355-SEB!E355</f>
        <v>754405</v>
      </c>
      <c r="F355" s="19">
        <f>'FPC wSEB'!F355-SEB!F355</f>
        <v>301927</v>
      </c>
      <c r="G355" s="19">
        <f>'FPC wSEB'!G355-SEB!G355</f>
        <v>85064</v>
      </c>
      <c r="H355" s="20">
        <f>'FPC wSEB'!H355-SEB!H355</f>
        <v>216863</v>
      </c>
      <c r="I355" s="19">
        <f>'FPC wSEB'!I355-SEB!I355</f>
        <v>2172</v>
      </c>
      <c r="J355" s="19">
        <f>'FPC wSEB'!J355-SEB!J355</f>
        <v>217309</v>
      </c>
      <c r="K355" s="19">
        <f>'FPC wSEB'!K355</f>
        <v>46189</v>
      </c>
      <c r="L355" s="19">
        <f>'FPC wSEB'!L355</f>
        <v>211686</v>
      </c>
      <c r="U355" s="2">
        <f t="shared" si="31"/>
        <v>2004</v>
      </c>
      <c r="V355" s="2">
        <f t="shared" si="32"/>
        <v>2</v>
      </c>
      <c r="W355" s="19">
        <f t="shared" si="39"/>
        <v>1479574</v>
      </c>
      <c r="X355" s="19">
        <f>'FPC wSEB'!X355-SEB!Q355</f>
        <v>1305178</v>
      </c>
      <c r="Y355" s="19">
        <f>'FPC wSEB'!Y355-SEB!R355</f>
        <v>150305</v>
      </c>
      <c r="Z355" s="19">
        <f>'FPC wSEB'!Z355-SEB!S355</f>
        <v>2637</v>
      </c>
      <c r="AA355" s="19">
        <f>'FPC wSEB'!AA355-SEB!T355</f>
        <v>1866</v>
      </c>
      <c r="AB355" s="19">
        <f>'FPC wSEB'!AB355-SEB!U355</f>
        <v>19567</v>
      </c>
      <c r="AC355" s="19">
        <f>'FPC wSEB'!AC355</f>
        <v>4</v>
      </c>
      <c r="AD355" s="19">
        <f>'FPC wSEB'!AD355</f>
        <v>17</v>
      </c>
    </row>
    <row r="356" spans="1:30">
      <c r="A356" s="2">
        <f t="shared" si="28"/>
        <v>2004</v>
      </c>
      <c r="B356" s="2">
        <f t="shared" si="29"/>
        <v>3</v>
      </c>
      <c r="C356" s="19">
        <f t="shared" si="40"/>
        <v>3041488</v>
      </c>
      <c r="D356" s="19">
        <f>'FPC wSEB'!D356-SEB!D356</f>
        <v>1295687</v>
      </c>
      <c r="E356" s="19">
        <f>'FPC wSEB'!E356-SEB!E356</f>
        <v>842572</v>
      </c>
      <c r="F356" s="19">
        <f>'FPC wSEB'!F356-SEB!F356</f>
        <v>370782</v>
      </c>
      <c r="G356" s="19">
        <f>'FPC wSEB'!G356-SEB!G356</f>
        <v>127550</v>
      </c>
      <c r="H356" s="20">
        <f>'FPC wSEB'!H356-SEB!H356</f>
        <v>243232</v>
      </c>
      <c r="I356" s="19">
        <f>'FPC wSEB'!I356-SEB!I356</f>
        <v>2524</v>
      </c>
      <c r="J356" s="19">
        <f>'FPC wSEB'!J356-SEB!J356</f>
        <v>221512</v>
      </c>
      <c r="K356" s="19">
        <f>'FPC wSEB'!K356</f>
        <v>118171</v>
      </c>
      <c r="L356" s="19">
        <f>'FPC wSEB'!L356</f>
        <v>190240</v>
      </c>
      <c r="U356" s="2">
        <f t="shared" si="31"/>
        <v>2004</v>
      </c>
      <c r="V356" s="2">
        <f t="shared" si="32"/>
        <v>3</v>
      </c>
      <c r="W356" s="19">
        <f t="shared" si="39"/>
        <v>1563667</v>
      </c>
      <c r="X356" s="19">
        <f>'FPC wSEB'!X356-SEB!Q356</f>
        <v>1379538</v>
      </c>
      <c r="Y356" s="19">
        <f>'FPC wSEB'!Y356-SEB!R356</f>
        <v>158872</v>
      </c>
      <c r="Z356" s="19">
        <f>'FPC wSEB'!Z356-SEB!S356</f>
        <v>2794</v>
      </c>
      <c r="AA356" s="19">
        <f>'FPC wSEB'!AA356-SEB!T356</f>
        <v>1857</v>
      </c>
      <c r="AB356" s="19">
        <f>'FPC wSEB'!AB356-SEB!U356</f>
        <v>20580</v>
      </c>
      <c r="AC356" s="19">
        <f>'FPC wSEB'!AC356</f>
        <v>6</v>
      </c>
      <c r="AD356" s="19">
        <f>'FPC wSEB'!AD356</f>
        <v>20</v>
      </c>
    </row>
    <row r="357" spans="1:30">
      <c r="A357" s="2">
        <f t="shared" si="28"/>
        <v>2004</v>
      </c>
      <c r="B357" s="2">
        <f t="shared" si="29"/>
        <v>4</v>
      </c>
      <c r="C357" s="19">
        <f t="shared" si="40"/>
        <v>2918957</v>
      </c>
      <c r="D357" s="19">
        <f>'FPC wSEB'!D357-SEB!D357</f>
        <v>1178868</v>
      </c>
      <c r="E357" s="19">
        <f>'FPC wSEB'!E357-SEB!E357</f>
        <v>868001</v>
      </c>
      <c r="F357" s="19">
        <f>'FPC wSEB'!F357-SEB!F357</f>
        <v>345762</v>
      </c>
      <c r="G357" s="19">
        <f>'FPC wSEB'!G357-SEB!G357</f>
        <v>98759</v>
      </c>
      <c r="H357" s="20">
        <f>'FPC wSEB'!H357-SEB!H357</f>
        <v>247003</v>
      </c>
      <c r="I357" s="19">
        <f>'FPC wSEB'!I357-SEB!I357</f>
        <v>2345</v>
      </c>
      <c r="J357" s="19">
        <f>'FPC wSEB'!J357-SEB!J357</f>
        <v>234117</v>
      </c>
      <c r="K357" s="19">
        <f>'FPC wSEB'!K357</f>
        <v>82420</v>
      </c>
      <c r="L357" s="19">
        <f>'FPC wSEB'!L357</f>
        <v>207444</v>
      </c>
      <c r="U357" s="2">
        <f t="shared" si="31"/>
        <v>2004</v>
      </c>
      <c r="V357" s="2">
        <f t="shared" si="32"/>
        <v>4</v>
      </c>
      <c r="W357" s="19">
        <f t="shared" ref="W357:W362" si="41">SUM(X357:AD357)</f>
        <v>1522877</v>
      </c>
      <c r="X357" s="19">
        <f>'FPC wSEB'!X357-SEB!Q357</f>
        <v>1342581</v>
      </c>
      <c r="Y357" s="19">
        <f>'FPC wSEB'!Y357-SEB!R357</f>
        <v>155578</v>
      </c>
      <c r="Z357" s="19">
        <f>'FPC wSEB'!Z357-SEB!S357</f>
        <v>2733</v>
      </c>
      <c r="AA357" s="19">
        <f>'FPC wSEB'!AA357-SEB!T357</f>
        <v>1853</v>
      </c>
      <c r="AB357" s="19">
        <f>'FPC wSEB'!AB357-SEB!U357</f>
        <v>20110</v>
      </c>
      <c r="AC357" s="19">
        <f>'FPC wSEB'!AC357</f>
        <v>5</v>
      </c>
      <c r="AD357" s="19">
        <f>'FPC wSEB'!AD357</f>
        <v>17</v>
      </c>
    </row>
    <row r="358" spans="1:30">
      <c r="A358" s="2">
        <f t="shared" si="28"/>
        <v>2004</v>
      </c>
      <c r="B358" s="2">
        <f t="shared" si="29"/>
        <v>5</v>
      </c>
      <c r="C358" s="19">
        <f t="shared" si="40"/>
        <v>3217515</v>
      </c>
      <c r="D358" s="19">
        <f>'FPC wSEB'!D358-SEB!D358</f>
        <v>1381878</v>
      </c>
      <c r="E358" s="19">
        <f>'FPC wSEB'!E358-SEB!E358</f>
        <v>945174</v>
      </c>
      <c r="F358" s="19">
        <f>'FPC wSEB'!F358-SEB!F358</f>
        <v>351121</v>
      </c>
      <c r="G358" s="19">
        <f>'FPC wSEB'!G358-SEB!G358</f>
        <v>110670</v>
      </c>
      <c r="H358" s="20">
        <f>'FPC wSEB'!H358-SEB!H358</f>
        <v>240451</v>
      </c>
      <c r="I358" s="19">
        <f>'FPC wSEB'!I358-SEB!I358</f>
        <v>2208</v>
      </c>
      <c r="J358" s="19">
        <f>'FPC wSEB'!J358-SEB!J358</f>
        <v>248416</v>
      </c>
      <c r="K358" s="19">
        <f>'FPC wSEB'!K358</f>
        <v>84688</v>
      </c>
      <c r="L358" s="19">
        <f>'FPC wSEB'!L358</f>
        <v>204030</v>
      </c>
      <c r="U358" s="2">
        <f t="shared" si="31"/>
        <v>2004</v>
      </c>
      <c r="V358" s="2">
        <f t="shared" si="32"/>
        <v>5</v>
      </c>
      <c r="W358" s="19">
        <f t="shared" si="41"/>
        <v>1535411</v>
      </c>
      <c r="X358" s="19">
        <f>'FPC wSEB'!X358-SEB!Q358</f>
        <v>1353282</v>
      </c>
      <c r="Y358" s="19">
        <f>'FPC wSEB'!Y358-SEB!R358</f>
        <v>157146</v>
      </c>
      <c r="Z358" s="19">
        <f>'FPC wSEB'!Z358-SEB!S358</f>
        <v>2729</v>
      </c>
      <c r="AA358" s="19">
        <f>'FPC wSEB'!AA358-SEB!T358</f>
        <v>1845</v>
      </c>
      <c r="AB358" s="19">
        <f>'FPC wSEB'!AB358-SEB!U358</f>
        <v>20388</v>
      </c>
      <c r="AC358" s="19">
        <f>'FPC wSEB'!AC358</f>
        <v>5</v>
      </c>
      <c r="AD358" s="19">
        <f>'FPC wSEB'!AD358</f>
        <v>16</v>
      </c>
    </row>
    <row r="359" spans="1:30">
      <c r="A359" s="2">
        <f t="shared" si="28"/>
        <v>2004</v>
      </c>
      <c r="B359" s="2">
        <f t="shared" si="29"/>
        <v>6</v>
      </c>
      <c r="C359" s="19">
        <f t="shared" si="40"/>
        <v>3942696</v>
      </c>
      <c r="D359" s="19">
        <f>'FPC wSEB'!D359-SEB!D359</f>
        <v>1917726</v>
      </c>
      <c r="E359" s="19">
        <f>'FPC wSEB'!E359-SEB!E359</f>
        <v>1106145</v>
      </c>
      <c r="F359" s="19">
        <f>'FPC wSEB'!F359-SEB!F359</f>
        <v>354180</v>
      </c>
      <c r="G359" s="19">
        <f>'FPC wSEB'!G359-SEB!G359</f>
        <v>93969</v>
      </c>
      <c r="H359" s="20">
        <f>'FPC wSEB'!H359-SEB!H359</f>
        <v>260211</v>
      </c>
      <c r="I359" s="19">
        <f>'FPC wSEB'!I359-SEB!I359</f>
        <v>2388</v>
      </c>
      <c r="J359" s="19">
        <f>'FPC wSEB'!J359-SEB!J359</f>
        <v>257053</v>
      </c>
      <c r="K359" s="19">
        <f>'FPC wSEB'!K359</f>
        <v>95812</v>
      </c>
      <c r="L359" s="19">
        <f>'FPC wSEB'!L359</f>
        <v>209392</v>
      </c>
      <c r="U359" s="2">
        <f t="shared" si="31"/>
        <v>2004</v>
      </c>
      <c r="V359" s="2">
        <f t="shared" si="32"/>
        <v>6</v>
      </c>
      <c r="W359" s="19">
        <f t="shared" si="41"/>
        <v>1530443</v>
      </c>
      <c r="X359" s="19">
        <f>'FPC wSEB'!X359-SEB!Q359</f>
        <v>1349062</v>
      </c>
      <c r="Y359" s="19">
        <f>'FPC wSEB'!Y359-SEB!R359</f>
        <v>156624</v>
      </c>
      <c r="Z359" s="19">
        <f>'FPC wSEB'!Z359-SEB!S359</f>
        <v>2732</v>
      </c>
      <c r="AA359" s="19">
        <f>'FPC wSEB'!AA359-SEB!T359</f>
        <v>1841</v>
      </c>
      <c r="AB359" s="19">
        <f>'FPC wSEB'!AB359-SEB!U359</f>
        <v>20162</v>
      </c>
      <c r="AC359" s="19">
        <f>'FPC wSEB'!AC359</f>
        <v>5</v>
      </c>
      <c r="AD359" s="19">
        <f>'FPC wSEB'!AD359</f>
        <v>17</v>
      </c>
    </row>
    <row r="360" spans="1:30">
      <c r="A360" s="2">
        <f t="shared" si="28"/>
        <v>2004</v>
      </c>
      <c r="B360" s="2">
        <f t="shared" si="29"/>
        <v>7</v>
      </c>
      <c r="C360" s="19">
        <f t="shared" ref="C360:C365" si="42">SUM(D360:F360,I360:L360)</f>
        <v>4249228</v>
      </c>
      <c r="D360" s="19">
        <f>'FPC wSEB'!D360-SEB!D360</f>
        <v>2074052</v>
      </c>
      <c r="E360" s="19">
        <f>'FPC wSEB'!E360-SEB!E360</f>
        <v>1131124</v>
      </c>
      <c r="F360" s="19">
        <f>'FPC wSEB'!F360-SEB!F360</f>
        <v>335652</v>
      </c>
      <c r="G360" s="19">
        <f>'FPC wSEB'!G360-SEB!G360</f>
        <v>101572</v>
      </c>
      <c r="H360" s="20">
        <f>'FPC wSEB'!H360-SEB!H360</f>
        <v>234080</v>
      </c>
      <c r="I360" s="19">
        <f>'FPC wSEB'!I360-SEB!I360</f>
        <v>2343</v>
      </c>
      <c r="J360" s="19">
        <f>'FPC wSEB'!J360-SEB!J360</f>
        <v>264755</v>
      </c>
      <c r="K360" s="19">
        <f>'FPC wSEB'!K360</f>
        <v>102835</v>
      </c>
      <c r="L360" s="19">
        <f>'FPC wSEB'!L360</f>
        <v>338467</v>
      </c>
      <c r="U360" s="2">
        <f t="shared" si="31"/>
        <v>2004</v>
      </c>
      <c r="V360" s="2">
        <f t="shared" si="32"/>
        <v>7</v>
      </c>
      <c r="W360" s="19">
        <f t="shared" si="41"/>
        <v>1521428</v>
      </c>
      <c r="X360" s="19">
        <f>'FPC wSEB'!X360-SEB!Q360</f>
        <v>1341024</v>
      </c>
      <c r="Y360" s="19">
        <f>'FPC wSEB'!Y360-SEB!R360</f>
        <v>155655</v>
      </c>
      <c r="Z360" s="19">
        <f>'FPC wSEB'!Z360-SEB!S360</f>
        <v>2725</v>
      </c>
      <c r="AA360" s="19">
        <f>'FPC wSEB'!AA360-SEB!T360</f>
        <v>1838</v>
      </c>
      <c r="AB360" s="19">
        <f>'FPC wSEB'!AB360-SEB!U360</f>
        <v>20153</v>
      </c>
      <c r="AC360" s="19">
        <f>'FPC wSEB'!AC360</f>
        <v>7</v>
      </c>
      <c r="AD360" s="19">
        <f>'FPC wSEB'!AD360</f>
        <v>26</v>
      </c>
    </row>
    <row r="361" spans="1:30">
      <c r="A361" s="2">
        <f t="shared" si="28"/>
        <v>2004</v>
      </c>
      <c r="B361" s="2">
        <f t="shared" si="29"/>
        <v>8</v>
      </c>
      <c r="C361" s="19">
        <f t="shared" si="42"/>
        <v>4149238</v>
      </c>
      <c r="D361" s="19">
        <f>'FPC wSEB'!D361-SEB!D361</f>
        <v>1964921</v>
      </c>
      <c r="E361" s="19">
        <f>'FPC wSEB'!E361-SEB!E361</f>
        <v>1101642</v>
      </c>
      <c r="F361" s="19">
        <f>'FPC wSEB'!F361-SEB!F361</f>
        <v>346715</v>
      </c>
      <c r="G361" s="19">
        <f>'FPC wSEB'!G361-SEB!G361</f>
        <v>95284</v>
      </c>
      <c r="H361" s="20">
        <f>'FPC wSEB'!H361-SEB!H361</f>
        <v>251431</v>
      </c>
      <c r="I361" s="19">
        <f>'FPC wSEB'!I361-SEB!I361</f>
        <v>2302</v>
      </c>
      <c r="J361" s="19">
        <f>'FPC wSEB'!J361-SEB!J361</f>
        <v>268202</v>
      </c>
      <c r="K361" s="19">
        <f>'FPC wSEB'!K361</f>
        <v>123315</v>
      </c>
      <c r="L361" s="19">
        <f>'FPC wSEB'!L361</f>
        <v>342141</v>
      </c>
      <c r="U361" s="2">
        <f t="shared" si="31"/>
        <v>2004</v>
      </c>
      <c r="V361" s="2">
        <f t="shared" si="32"/>
        <v>8</v>
      </c>
      <c r="W361" s="19">
        <f t="shared" si="41"/>
        <v>1532715</v>
      </c>
      <c r="X361" s="19">
        <f>'FPC wSEB'!X361-SEB!Q361</f>
        <v>1350742</v>
      </c>
      <c r="Y361" s="19">
        <f>'FPC wSEB'!Y361-SEB!R361</f>
        <v>157155</v>
      </c>
      <c r="Z361" s="19">
        <f>'FPC wSEB'!Z361-SEB!S361</f>
        <v>2730</v>
      </c>
      <c r="AA361" s="19">
        <f>'FPC wSEB'!AA361-SEB!T361</f>
        <v>1827</v>
      </c>
      <c r="AB361" s="19">
        <f>'FPC wSEB'!AB361-SEB!U361</f>
        <v>20235</v>
      </c>
      <c r="AC361" s="19">
        <f>'FPC wSEB'!AC361</f>
        <v>8</v>
      </c>
      <c r="AD361" s="19">
        <f>'FPC wSEB'!AD361</f>
        <v>18</v>
      </c>
    </row>
    <row r="362" spans="1:30">
      <c r="A362" s="2">
        <f t="shared" si="28"/>
        <v>2004</v>
      </c>
      <c r="B362" s="2">
        <f t="shared" si="29"/>
        <v>9</v>
      </c>
      <c r="C362" s="19">
        <f t="shared" si="42"/>
        <v>4053095</v>
      </c>
      <c r="D362" s="19">
        <f>'FPC wSEB'!D362-SEB!D362</f>
        <v>1908709</v>
      </c>
      <c r="E362" s="19">
        <f>'FPC wSEB'!E362-SEB!E362</f>
        <v>1077735</v>
      </c>
      <c r="F362" s="19">
        <f>'FPC wSEB'!F362-SEB!F362</f>
        <v>331603</v>
      </c>
      <c r="G362" s="19">
        <f>'FPC wSEB'!G362-SEB!G362</f>
        <v>98205</v>
      </c>
      <c r="H362" s="20">
        <f>'FPC wSEB'!H362-SEB!H362</f>
        <v>233398</v>
      </c>
      <c r="I362" s="19">
        <f>'FPC wSEB'!I362-SEB!I362</f>
        <v>2305</v>
      </c>
      <c r="J362" s="19">
        <f>'FPC wSEB'!J362-SEB!J362</f>
        <v>272969</v>
      </c>
      <c r="K362" s="19">
        <f>'FPC wSEB'!K362</f>
        <v>120959</v>
      </c>
      <c r="L362" s="19">
        <f>'FPC wSEB'!L362</f>
        <v>338815</v>
      </c>
      <c r="U362" s="2">
        <f t="shared" si="31"/>
        <v>2004</v>
      </c>
      <c r="V362" s="2">
        <f t="shared" si="32"/>
        <v>9</v>
      </c>
      <c r="W362" s="19">
        <f t="shared" si="41"/>
        <v>1550745</v>
      </c>
      <c r="X362" s="19">
        <f>'FPC wSEB'!X362-SEB!Q362</f>
        <v>1366485</v>
      </c>
      <c r="Y362" s="19">
        <f>'FPC wSEB'!Y362-SEB!R362</f>
        <v>159153</v>
      </c>
      <c r="Z362" s="19">
        <f>'FPC wSEB'!Z362-SEB!S362</f>
        <v>2720</v>
      </c>
      <c r="AA362" s="19">
        <f>'FPC wSEB'!AA362-SEB!T362</f>
        <v>1833</v>
      </c>
      <c r="AB362" s="19">
        <f>'FPC wSEB'!AB362-SEB!U362</f>
        <v>20527</v>
      </c>
      <c r="AC362" s="19">
        <f>'FPC wSEB'!AC362</f>
        <v>8</v>
      </c>
      <c r="AD362" s="19">
        <f>'FPC wSEB'!AD362</f>
        <v>19</v>
      </c>
    </row>
    <row r="363" spans="1:30">
      <c r="A363" s="2">
        <f t="shared" si="28"/>
        <v>2004</v>
      </c>
      <c r="B363" s="2">
        <f t="shared" si="29"/>
        <v>10</v>
      </c>
      <c r="C363" s="19">
        <f t="shared" si="42"/>
        <v>3807982</v>
      </c>
      <c r="D363" s="19">
        <f>'FPC wSEB'!D363-SEB!D363</f>
        <v>1764083</v>
      </c>
      <c r="E363" s="19">
        <f>'FPC wSEB'!E363-SEB!E363</f>
        <v>1028901</v>
      </c>
      <c r="F363" s="19">
        <f>'FPC wSEB'!F363-SEB!F363</f>
        <v>284899</v>
      </c>
      <c r="G363" s="19">
        <f>'FPC wSEB'!G363-SEB!G363</f>
        <v>68535</v>
      </c>
      <c r="H363" s="20">
        <f>'FPC wSEB'!H363-SEB!H363</f>
        <v>216364</v>
      </c>
      <c r="I363" s="19">
        <f>'FPC wSEB'!I363-SEB!I363</f>
        <v>2292</v>
      </c>
      <c r="J363" s="19">
        <f>'FPC wSEB'!J363-SEB!J363</f>
        <v>275772</v>
      </c>
      <c r="K363" s="19">
        <f>'FPC wSEB'!K363</f>
        <v>109509</v>
      </c>
      <c r="L363" s="19">
        <f>'FPC wSEB'!L363</f>
        <v>342526</v>
      </c>
      <c r="U363" s="2">
        <f t="shared" si="31"/>
        <v>2004</v>
      </c>
      <c r="V363" s="2">
        <f t="shared" si="32"/>
        <v>10</v>
      </c>
      <c r="W363" s="19">
        <f t="shared" ref="W363:W368" si="43">SUM(X363:AD363)</f>
        <v>1545339</v>
      </c>
      <c r="X363" s="19">
        <f>'FPC wSEB'!X363-SEB!Q363</f>
        <v>1359866</v>
      </c>
      <c r="Y363" s="19">
        <f>'FPC wSEB'!Y363-SEB!R363</f>
        <v>160181</v>
      </c>
      <c r="Z363" s="19">
        <f>'FPC wSEB'!Z363-SEB!S363</f>
        <v>2714</v>
      </c>
      <c r="AA363" s="19">
        <f>'FPC wSEB'!AA363-SEB!T363</f>
        <v>1825</v>
      </c>
      <c r="AB363" s="19">
        <f>'FPC wSEB'!AB363-SEB!U363</f>
        <v>20726</v>
      </c>
      <c r="AC363" s="19">
        <f>'FPC wSEB'!AC363</f>
        <v>7</v>
      </c>
      <c r="AD363" s="19">
        <f>'FPC wSEB'!AD363</f>
        <v>20</v>
      </c>
    </row>
    <row r="364" spans="1:30">
      <c r="A364" s="2">
        <f t="shared" si="28"/>
        <v>2004</v>
      </c>
      <c r="B364" s="2">
        <f t="shared" si="29"/>
        <v>11</v>
      </c>
      <c r="C364" s="19">
        <f t="shared" si="42"/>
        <v>3388888</v>
      </c>
      <c r="D364" s="19">
        <f>'FPC wSEB'!D364-SEB!D364</f>
        <v>1415306</v>
      </c>
      <c r="E364" s="19">
        <f>'FPC wSEB'!E364-SEB!E364</f>
        <v>984652</v>
      </c>
      <c r="F364" s="19">
        <f>'FPC wSEB'!F364-SEB!F364</f>
        <v>345693</v>
      </c>
      <c r="G364" s="19">
        <f>'FPC wSEB'!G364-SEB!G364</f>
        <v>119486</v>
      </c>
      <c r="H364" s="20">
        <f>'FPC wSEB'!H364-SEB!H364</f>
        <v>226207</v>
      </c>
      <c r="I364" s="19">
        <f>'FPC wSEB'!I364-SEB!I364</f>
        <v>2171</v>
      </c>
      <c r="J364" s="19">
        <f>'FPC wSEB'!J364-SEB!J364</f>
        <v>265964</v>
      </c>
      <c r="K364" s="19">
        <f>'FPC wSEB'!K364</f>
        <v>33059</v>
      </c>
      <c r="L364" s="19">
        <f>'FPC wSEB'!L364</f>
        <v>342043</v>
      </c>
      <c r="U364" s="2">
        <f t="shared" si="31"/>
        <v>2004</v>
      </c>
      <c r="V364" s="2">
        <f t="shared" si="32"/>
        <v>11</v>
      </c>
      <c r="W364" s="19">
        <f t="shared" si="43"/>
        <v>1562914</v>
      </c>
      <c r="X364" s="19">
        <f>'FPC wSEB'!X364-SEB!Q364</f>
        <v>1375334</v>
      </c>
      <c r="Y364" s="19">
        <f>'FPC wSEB'!Y364-SEB!R364</f>
        <v>162122</v>
      </c>
      <c r="Z364" s="19">
        <f>'FPC wSEB'!Z364-SEB!S364</f>
        <v>2737</v>
      </c>
      <c r="AA364" s="19">
        <f>'FPC wSEB'!AA364-SEB!T364</f>
        <v>1820</v>
      </c>
      <c r="AB364" s="19">
        <f>'FPC wSEB'!AB364-SEB!U364</f>
        <v>20877</v>
      </c>
      <c r="AC364" s="19">
        <f>'FPC wSEB'!AC364</f>
        <v>5</v>
      </c>
      <c r="AD364" s="19">
        <f>'FPC wSEB'!AD364</f>
        <v>19</v>
      </c>
    </row>
    <row r="365" spans="1:30">
      <c r="A365" s="2">
        <f t="shared" si="28"/>
        <v>2004</v>
      </c>
      <c r="B365" s="2">
        <f t="shared" si="29"/>
        <v>12</v>
      </c>
      <c r="C365" s="19">
        <f t="shared" si="42"/>
        <v>3291507</v>
      </c>
      <c r="D365" s="19">
        <f>'FPC wSEB'!D365-SEB!D365</f>
        <v>1364472</v>
      </c>
      <c r="E365" s="19">
        <f>'FPC wSEB'!E365-SEB!E365</f>
        <v>933515</v>
      </c>
      <c r="F365" s="19">
        <f>'FPC wSEB'!F365-SEB!F365</f>
        <v>350078</v>
      </c>
      <c r="G365" s="19">
        <f>'FPC wSEB'!G365-SEB!G365</f>
        <v>109920</v>
      </c>
      <c r="H365" s="20">
        <f>'FPC wSEB'!H365-SEB!H365</f>
        <v>240158</v>
      </c>
      <c r="I365" s="19">
        <f>'FPC wSEB'!I365-SEB!I365</f>
        <v>2449</v>
      </c>
      <c r="J365" s="19">
        <f>'FPC wSEB'!J365-SEB!J365</f>
        <v>249448</v>
      </c>
      <c r="K365" s="19">
        <f>'FPC wSEB'!K365</f>
        <v>108429</v>
      </c>
      <c r="L365" s="19">
        <f>'FPC wSEB'!L365</f>
        <v>283116</v>
      </c>
      <c r="U365" s="2">
        <f t="shared" si="31"/>
        <v>2004</v>
      </c>
      <c r="V365" s="2">
        <f t="shared" si="32"/>
        <v>12</v>
      </c>
      <c r="W365" s="19">
        <f t="shared" si="43"/>
        <v>1564001</v>
      </c>
      <c r="X365" s="19">
        <f>'FPC wSEB'!X365-SEB!Q365</f>
        <v>1378700</v>
      </c>
      <c r="Y365" s="19">
        <f>'FPC wSEB'!Y365-SEB!R365</f>
        <v>159962</v>
      </c>
      <c r="Z365" s="19">
        <f>'FPC wSEB'!Z365-SEB!S365</f>
        <v>2761</v>
      </c>
      <c r="AA365" s="19">
        <f>'FPC wSEB'!AA365-SEB!T365</f>
        <v>1813</v>
      </c>
      <c r="AB365" s="19">
        <f>'FPC wSEB'!AB365-SEB!U365</f>
        <v>20738</v>
      </c>
      <c r="AC365" s="19">
        <f>'FPC wSEB'!AC365</f>
        <v>6</v>
      </c>
      <c r="AD365" s="19">
        <f>'FPC wSEB'!AD365</f>
        <v>21</v>
      </c>
    </row>
    <row r="366" spans="1:30">
      <c r="A366" s="2">
        <f t="shared" si="28"/>
        <v>2005</v>
      </c>
      <c r="B366" s="2">
        <f t="shared" si="29"/>
        <v>1</v>
      </c>
      <c r="C366" s="19">
        <f t="shared" ref="C366:C371" si="44">SUM(D366:F366,I366:L366)</f>
        <v>3407048</v>
      </c>
      <c r="D366" s="19">
        <f>'FPC wSEB'!D366-SEB!D366</f>
        <v>1569463</v>
      </c>
      <c r="E366" s="19">
        <f>'FPC wSEB'!E366-SEB!E366</f>
        <v>876469</v>
      </c>
      <c r="F366" s="19">
        <f>'FPC wSEB'!F366-SEB!F366</f>
        <v>325554</v>
      </c>
      <c r="G366" s="19">
        <f>'FPC wSEB'!G366-SEB!G366</f>
        <v>99436</v>
      </c>
      <c r="H366" s="20">
        <f>'FPC wSEB'!H366-SEB!H366</f>
        <v>226118</v>
      </c>
      <c r="I366" s="19">
        <f>'FPC wSEB'!I366-SEB!I366</f>
        <v>1612</v>
      </c>
      <c r="J366" s="19">
        <f>'FPC wSEB'!J366-SEB!J366</f>
        <v>236015</v>
      </c>
      <c r="K366" s="19">
        <f>'FPC wSEB'!K366</f>
        <v>81993</v>
      </c>
      <c r="L366" s="19">
        <f>'FPC wSEB'!L366</f>
        <v>315942</v>
      </c>
      <c r="U366" s="2">
        <f t="shared" si="31"/>
        <v>2005</v>
      </c>
      <c r="V366" s="2">
        <f t="shared" si="32"/>
        <v>1</v>
      </c>
      <c r="W366" s="19">
        <f t="shared" si="43"/>
        <v>1535626</v>
      </c>
      <c r="X366" s="19">
        <f>'FPC wSEB'!X366-SEB!Q366</f>
        <v>1355087</v>
      </c>
      <c r="Y366" s="19">
        <f>'FPC wSEB'!Y366-SEB!R366</f>
        <v>155737</v>
      </c>
      <c r="Z366" s="19">
        <f>'FPC wSEB'!Z366-SEB!S366</f>
        <v>2690</v>
      </c>
      <c r="AA366" s="19">
        <f>'FPC wSEB'!AA366-SEB!T366</f>
        <v>1809</v>
      </c>
      <c r="AB366" s="19">
        <f>'FPC wSEB'!AB366-SEB!U366</f>
        <v>20273</v>
      </c>
      <c r="AC366" s="19">
        <f>'FPC wSEB'!AC366</f>
        <v>9</v>
      </c>
      <c r="AD366" s="19">
        <f>'FPC wSEB'!AD366</f>
        <v>21</v>
      </c>
    </row>
    <row r="367" spans="1:30">
      <c r="A367" s="2">
        <f t="shared" si="28"/>
        <v>2005</v>
      </c>
      <c r="B367" s="2">
        <f t="shared" si="29"/>
        <v>2</v>
      </c>
      <c r="C367" s="19">
        <f t="shared" si="44"/>
        <v>3185127</v>
      </c>
      <c r="D367" s="19">
        <f>'FPC wSEB'!D367-SEB!D367</f>
        <v>1423314</v>
      </c>
      <c r="E367" s="19">
        <f>'FPC wSEB'!E367-SEB!E367</f>
        <v>833282</v>
      </c>
      <c r="F367" s="19">
        <f>'FPC wSEB'!F367-SEB!F367</f>
        <v>312394</v>
      </c>
      <c r="G367" s="19">
        <f>'FPC wSEB'!G367-SEB!G367</f>
        <v>99289</v>
      </c>
      <c r="H367" s="20">
        <f>'FPC wSEB'!H367-SEB!H367</f>
        <v>213105</v>
      </c>
      <c r="I367" s="19">
        <f>'FPC wSEB'!I367-SEB!I367</f>
        <v>2973</v>
      </c>
      <c r="J367" s="19">
        <f>'FPC wSEB'!J367-SEB!J367</f>
        <v>227823</v>
      </c>
      <c r="K367" s="19">
        <f>'FPC wSEB'!K367</f>
        <v>86560</v>
      </c>
      <c r="L367" s="19">
        <f>'FPC wSEB'!L367</f>
        <v>298781</v>
      </c>
      <c r="U367" s="2">
        <f t="shared" si="31"/>
        <v>2005</v>
      </c>
      <c r="V367" s="2">
        <f t="shared" si="32"/>
        <v>2</v>
      </c>
      <c r="W367" s="19">
        <f t="shared" si="43"/>
        <v>1546611</v>
      </c>
      <c r="X367" s="19">
        <f>'FPC wSEB'!X367-SEB!Q367</f>
        <v>1363484</v>
      </c>
      <c r="Y367" s="19">
        <f>'FPC wSEB'!Y367-SEB!R367</f>
        <v>158078</v>
      </c>
      <c r="Z367" s="19">
        <f>'FPC wSEB'!Z367-SEB!S367</f>
        <v>2711</v>
      </c>
      <c r="AA367" s="19">
        <f>'FPC wSEB'!AA367-SEB!T367</f>
        <v>1811</v>
      </c>
      <c r="AB367" s="19">
        <f>'FPC wSEB'!AB367-SEB!U367</f>
        <v>20502</v>
      </c>
      <c r="AC367" s="19">
        <f>'FPC wSEB'!AC367</f>
        <v>6</v>
      </c>
      <c r="AD367" s="19">
        <f>'FPC wSEB'!AD367</f>
        <v>19</v>
      </c>
    </row>
    <row r="368" spans="1:30">
      <c r="A368" s="2">
        <f t="shared" si="28"/>
        <v>2005</v>
      </c>
      <c r="B368" s="2">
        <f t="shared" si="29"/>
        <v>3</v>
      </c>
      <c r="C368" s="19">
        <f t="shared" si="44"/>
        <v>3123946</v>
      </c>
      <c r="D368" s="19">
        <f>'FPC wSEB'!D368-SEB!D368</f>
        <v>1322995</v>
      </c>
      <c r="E368" s="19">
        <f>'FPC wSEB'!E368-SEB!E368</f>
        <v>842152</v>
      </c>
      <c r="F368" s="19">
        <f>'FPC wSEB'!F368-SEB!F368</f>
        <v>302164</v>
      </c>
      <c r="G368" s="19">
        <f>'FPC wSEB'!G368-SEB!G368</f>
        <v>91252</v>
      </c>
      <c r="H368" s="20">
        <f>'FPC wSEB'!H368-SEB!H368</f>
        <v>210912</v>
      </c>
      <c r="I368" s="19">
        <f>'FPC wSEB'!I368-SEB!I368</f>
        <v>2322</v>
      </c>
      <c r="J368" s="19">
        <f>'FPC wSEB'!J368-SEB!J368</f>
        <v>233687</v>
      </c>
      <c r="K368" s="19">
        <f>'FPC wSEB'!K368</f>
        <v>140357</v>
      </c>
      <c r="L368" s="19">
        <f>'FPC wSEB'!L368</f>
        <v>280269</v>
      </c>
      <c r="U368" s="2">
        <f t="shared" si="31"/>
        <v>2005</v>
      </c>
      <c r="V368" s="2">
        <f t="shared" si="32"/>
        <v>3</v>
      </c>
      <c r="W368" s="19">
        <f t="shared" si="43"/>
        <v>1579506</v>
      </c>
      <c r="X368" s="19">
        <f>'FPC wSEB'!X368-SEB!Q368</f>
        <v>1394224</v>
      </c>
      <c r="Y368" s="19">
        <f>'FPC wSEB'!Y368-SEB!R368</f>
        <v>160011</v>
      </c>
      <c r="Z368" s="19">
        <f>'FPC wSEB'!Z368-SEB!S368</f>
        <v>2723</v>
      </c>
      <c r="AA368" s="19">
        <f>'FPC wSEB'!AA368-SEB!T368</f>
        <v>1803</v>
      </c>
      <c r="AB368" s="19">
        <f>'FPC wSEB'!AB368-SEB!U368</f>
        <v>20708</v>
      </c>
      <c r="AC368" s="19">
        <f>'FPC wSEB'!AC368</f>
        <v>11</v>
      </c>
      <c r="AD368" s="19">
        <f>'FPC wSEB'!AD368</f>
        <v>26</v>
      </c>
    </row>
    <row r="369" spans="1:30">
      <c r="A369" s="2">
        <f t="shared" si="28"/>
        <v>2005</v>
      </c>
      <c r="B369" s="2">
        <f t="shared" si="29"/>
        <v>4</v>
      </c>
      <c r="C369" s="19">
        <f t="shared" si="44"/>
        <v>3319497</v>
      </c>
      <c r="D369" s="19">
        <f>'FPC wSEB'!D369-SEB!D369</f>
        <v>1296329</v>
      </c>
      <c r="E369" s="19">
        <f>'FPC wSEB'!E369-SEB!E369</f>
        <v>915152</v>
      </c>
      <c r="F369" s="19">
        <f>'FPC wSEB'!F369-SEB!F369</f>
        <v>355199</v>
      </c>
      <c r="G369" s="19">
        <f>'FPC wSEB'!G369-SEB!G369</f>
        <v>113447</v>
      </c>
      <c r="H369" s="20">
        <f>'FPC wSEB'!H369-SEB!H369</f>
        <v>241752</v>
      </c>
      <c r="I369" s="19">
        <f>'FPC wSEB'!I369-SEB!I369</f>
        <v>2292</v>
      </c>
      <c r="J369" s="19">
        <f>'FPC wSEB'!J369-SEB!J369</f>
        <v>243253</v>
      </c>
      <c r="K369" s="19">
        <f>'FPC wSEB'!K369</f>
        <v>125681</v>
      </c>
      <c r="L369" s="19">
        <f>'FPC wSEB'!L369</f>
        <v>381591</v>
      </c>
      <c r="U369" s="2">
        <f t="shared" si="31"/>
        <v>2005</v>
      </c>
      <c r="V369" s="2">
        <f t="shared" si="32"/>
        <v>4</v>
      </c>
      <c r="W369" s="19">
        <f t="shared" ref="W369:W374" si="45">SUM(X369:AD369)</f>
        <v>1551407</v>
      </c>
      <c r="X369" s="19">
        <f>'FPC wSEB'!X369-SEB!Q369</f>
        <v>1367807</v>
      </c>
      <c r="Y369" s="19">
        <f>'FPC wSEB'!Y369-SEB!R369</f>
        <v>158520</v>
      </c>
      <c r="Z369" s="19">
        <f>'FPC wSEB'!Z369-SEB!S369</f>
        <v>2662</v>
      </c>
      <c r="AA369" s="19">
        <f>'FPC wSEB'!AA369-SEB!T369</f>
        <v>1799</v>
      </c>
      <c r="AB369" s="19">
        <f>'FPC wSEB'!AB369-SEB!U369</f>
        <v>20595</v>
      </c>
      <c r="AC369" s="19">
        <f>'FPC wSEB'!AC369</f>
        <v>7</v>
      </c>
      <c r="AD369" s="19">
        <f>'FPC wSEB'!AD369</f>
        <v>17</v>
      </c>
    </row>
    <row r="370" spans="1:30">
      <c r="A370" s="2">
        <f t="shared" si="28"/>
        <v>2005</v>
      </c>
      <c r="B370" s="2">
        <f t="shared" si="29"/>
        <v>5</v>
      </c>
      <c r="C370" s="19">
        <f t="shared" si="44"/>
        <v>3205296</v>
      </c>
      <c r="D370" s="19">
        <f>'FPC wSEB'!D370-SEB!D370</f>
        <v>1316226</v>
      </c>
      <c r="E370" s="19">
        <f>'FPC wSEB'!E370-SEB!E370</f>
        <v>933291</v>
      </c>
      <c r="F370" s="19">
        <f>'FPC wSEB'!F370-SEB!F370</f>
        <v>320613</v>
      </c>
      <c r="G370" s="19">
        <f>'FPC wSEB'!G370-SEB!G370</f>
        <v>94953</v>
      </c>
      <c r="H370" s="20">
        <f>'FPC wSEB'!H370-SEB!H370</f>
        <v>225660</v>
      </c>
      <c r="I370" s="19">
        <f>'FPC wSEB'!I370-SEB!I370</f>
        <v>2280</v>
      </c>
      <c r="J370" s="19">
        <f>'FPC wSEB'!J370-SEB!J370</f>
        <v>245403</v>
      </c>
      <c r="K370" s="19">
        <f>'FPC wSEB'!K370</f>
        <v>113196</v>
      </c>
      <c r="L370" s="19">
        <f>'FPC wSEB'!L370</f>
        <v>274287</v>
      </c>
      <c r="U370" s="2">
        <f t="shared" si="31"/>
        <v>2005</v>
      </c>
      <c r="V370" s="2">
        <f t="shared" si="32"/>
        <v>5</v>
      </c>
      <c r="W370" s="19">
        <f t="shared" si="45"/>
        <v>1612103</v>
      </c>
      <c r="X370" s="19">
        <f>'FPC wSEB'!X370-SEB!Q370</f>
        <v>1421965</v>
      </c>
      <c r="Y370" s="19">
        <f>'FPC wSEB'!Y370-SEB!R370</f>
        <v>164459</v>
      </c>
      <c r="Z370" s="19">
        <f>'FPC wSEB'!Z370-SEB!S370</f>
        <v>2747</v>
      </c>
      <c r="AA370" s="19">
        <f>'FPC wSEB'!AA370-SEB!T370</f>
        <v>1793</v>
      </c>
      <c r="AB370" s="19">
        <f>'FPC wSEB'!AB370-SEB!U370</f>
        <v>21113</v>
      </c>
      <c r="AC370" s="19">
        <f>'FPC wSEB'!AC370</f>
        <v>7</v>
      </c>
      <c r="AD370" s="19">
        <f>'FPC wSEB'!AD370</f>
        <v>19</v>
      </c>
    </row>
    <row r="371" spans="1:30">
      <c r="A371" s="73">
        <f t="shared" si="28"/>
        <v>2005</v>
      </c>
      <c r="B371" s="73">
        <f t="shared" si="29"/>
        <v>6</v>
      </c>
      <c r="C371" s="74">
        <f t="shared" si="44"/>
        <v>3726066</v>
      </c>
      <c r="D371" s="74">
        <f>'FPC wSEB'!D371-SEB!D371</f>
        <v>1701371</v>
      </c>
      <c r="E371" s="74">
        <f>'FPC wSEB'!E371-SEB!E371</f>
        <v>1017783</v>
      </c>
      <c r="F371" s="74">
        <f>'FPC wSEB'!F371-SEB!F371</f>
        <v>364460</v>
      </c>
      <c r="G371" s="74">
        <f>'FPC wSEB'!G371-SEB!G371</f>
        <v>113485</v>
      </c>
      <c r="H371" s="75">
        <f>'FPC wSEB'!H371-SEB!H371</f>
        <v>250975</v>
      </c>
      <c r="I371" s="74">
        <f>'FPC wSEB'!I371-SEB!I371</f>
        <v>2259</v>
      </c>
      <c r="J371" s="74">
        <f>'FPC wSEB'!J371-SEB!J371</f>
        <v>262015</v>
      </c>
      <c r="K371" s="74">
        <f>'FPC wSEB'!K371</f>
        <v>95240</v>
      </c>
      <c r="L371" s="74">
        <f>'FPC wSEB'!L371</f>
        <v>282938</v>
      </c>
      <c r="M371" s="73"/>
      <c r="N371" s="73"/>
      <c r="O371" s="73"/>
      <c r="P371" s="73"/>
      <c r="Q371" s="73"/>
      <c r="R371" s="73"/>
      <c r="S371" s="73"/>
      <c r="T371" s="73"/>
      <c r="U371" s="73">
        <f t="shared" si="31"/>
        <v>2005</v>
      </c>
      <c r="V371" s="73">
        <f t="shared" si="32"/>
        <v>6</v>
      </c>
      <c r="W371" s="74">
        <f t="shared" si="45"/>
        <v>1481775</v>
      </c>
      <c r="X371" s="74">
        <f>'FPC wSEB'!X371-SEB!Q371</f>
        <v>1307140</v>
      </c>
      <c r="Y371" s="74">
        <f>'FPC wSEB'!Y371-SEB!R371</f>
        <v>150588</v>
      </c>
      <c r="Z371" s="74">
        <f>'FPC wSEB'!Z371-SEB!S371</f>
        <v>2597</v>
      </c>
      <c r="AA371" s="74">
        <f>'FPC wSEB'!AA371-SEB!T371</f>
        <v>1775</v>
      </c>
      <c r="AB371" s="74">
        <f>'FPC wSEB'!AB371-SEB!U371</f>
        <v>19651</v>
      </c>
      <c r="AC371" s="74">
        <f>'FPC wSEB'!AC371</f>
        <v>7</v>
      </c>
      <c r="AD371" s="74">
        <f>'FPC wSEB'!AD371</f>
        <v>17</v>
      </c>
    </row>
    <row r="372" spans="1:30">
      <c r="A372" s="2">
        <f t="shared" si="28"/>
        <v>2005</v>
      </c>
      <c r="B372" s="2">
        <f t="shared" si="29"/>
        <v>7</v>
      </c>
      <c r="C372" s="19">
        <f t="shared" ref="C372:C377" si="46">SUM(D372:F372,I372:L372)</f>
        <v>4275515</v>
      </c>
      <c r="D372" s="19">
        <f>'FPC wSEB'!D372-SEB!D372</f>
        <v>2094533</v>
      </c>
      <c r="E372" s="19">
        <f>'FPC wSEB'!E372-SEB!E372</f>
        <v>1169213</v>
      </c>
      <c r="F372" s="19">
        <f>'FPC wSEB'!F372-SEB!F372</f>
        <v>352729</v>
      </c>
      <c r="G372" s="19">
        <f>'FPC wSEB'!G372-SEB!G372</f>
        <v>106152</v>
      </c>
      <c r="H372" s="20">
        <f>'FPC wSEB'!H372-SEB!H372</f>
        <v>246577</v>
      </c>
      <c r="I372" s="19">
        <f>'FPC wSEB'!I372-SEB!I372</f>
        <v>2276</v>
      </c>
      <c r="J372" s="19">
        <f>'FPC wSEB'!J372-SEB!J372</f>
        <v>273634</v>
      </c>
      <c r="K372" s="19">
        <f>'FPC wSEB'!K372</f>
        <v>114575</v>
      </c>
      <c r="L372" s="19">
        <f>'FPC wSEB'!L372</f>
        <v>268555</v>
      </c>
      <c r="U372" s="2">
        <f t="shared" si="31"/>
        <v>2005</v>
      </c>
      <c r="V372" s="2">
        <f t="shared" si="32"/>
        <v>7</v>
      </c>
      <c r="W372" s="19">
        <f t="shared" si="45"/>
        <v>1600221</v>
      </c>
      <c r="X372" s="19">
        <f>'FPC wSEB'!X372-SEB!Q372</f>
        <v>1412694</v>
      </c>
      <c r="Y372" s="19">
        <f>'FPC wSEB'!Y372-SEB!R372</f>
        <v>162311</v>
      </c>
      <c r="Z372" s="19">
        <f>'FPC wSEB'!Z372-SEB!S372</f>
        <v>2699</v>
      </c>
      <c r="AA372" s="19">
        <f>'FPC wSEB'!AA372-SEB!T372</f>
        <v>1774</v>
      </c>
      <c r="AB372" s="19">
        <f>'FPC wSEB'!AB372-SEB!U372</f>
        <v>20717</v>
      </c>
      <c r="AC372" s="19">
        <f>'FPC wSEB'!AC372</f>
        <v>7</v>
      </c>
      <c r="AD372" s="19">
        <f>'FPC wSEB'!AD372</f>
        <v>19</v>
      </c>
    </row>
    <row r="373" spans="1:30">
      <c r="A373" s="2">
        <f t="shared" si="28"/>
        <v>2005</v>
      </c>
      <c r="B373" s="2">
        <f t="shared" si="29"/>
        <v>8</v>
      </c>
      <c r="C373" s="19">
        <f t="shared" si="46"/>
        <v>4508198</v>
      </c>
      <c r="D373" s="19">
        <f>'FPC wSEB'!D373-SEB!D373</f>
        <v>2203211</v>
      </c>
      <c r="E373" s="19">
        <f>'FPC wSEB'!E373-SEB!E373</f>
        <v>1146422</v>
      </c>
      <c r="F373" s="19">
        <f>'FPC wSEB'!F373-SEB!F373</f>
        <v>386694</v>
      </c>
      <c r="G373" s="19">
        <f>'FPC wSEB'!G373-SEB!G373</f>
        <v>103641</v>
      </c>
      <c r="H373" s="20">
        <f>'FPC wSEB'!H373-SEB!H373</f>
        <v>283053</v>
      </c>
      <c r="I373" s="19">
        <f>'FPC wSEB'!I373-SEB!I373</f>
        <v>2261</v>
      </c>
      <c r="J373" s="19">
        <f>'FPC wSEB'!J373-SEB!J373</f>
        <v>293617</v>
      </c>
      <c r="K373" s="19">
        <f>'FPC wSEB'!K373</f>
        <v>157072</v>
      </c>
      <c r="L373" s="19">
        <f>'FPC wSEB'!L373</f>
        <v>318921</v>
      </c>
      <c r="U373" s="2">
        <f t="shared" si="31"/>
        <v>2005</v>
      </c>
      <c r="V373" s="2">
        <f t="shared" si="32"/>
        <v>8</v>
      </c>
      <c r="W373" s="19">
        <f t="shared" si="45"/>
        <v>1567352</v>
      </c>
      <c r="X373" s="19">
        <f>'FPC wSEB'!X373-SEB!Q373</f>
        <v>1382516</v>
      </c>
      <c r="Y373" s="19">
        <f>'FPC wSEB'!Y373-SEB!R373</f>
        <v>159580</v>
      </c>
      <c r="Z373" s="19">
        <f>'FPC wSEB'!Z373-SEB!S373</f>
        <v>2716</v>
      </c>
      <c r="AA373" s="19">
        <f>'FPC wSEB'!AA373-SEB!T373</f>
        <v>1771</v>
      </c>
      <c r="AB373" s="19">
        <f>'FPC wSEB'!AB373-SEB!U373</f>
        <v>20743</v>
      </c>
      <c r="AC373" s="19">
        <f>'FPC wSEB'!AC373</f>
        <v>7</v>
      </c>
      <c r="AD373" s="19">
        <f>'FPC wSEB'!AD373</f>
        <v>19</v>
      </c>
    </row>
    <row r="374" spans="1:30">
      <c r="A374" s="2">
        <f t="shared" si="28"/>
        <v>2005</v>
      </c>
      <c r="B374" s="2">
        <f t="shared" si="29"/>
        <v>9</v>
      </c>
      <c r="C374" s="19">
        <f t="shared" si="46"/>
        <v>4658205</v>
      </c>
      <c r="D374" s="19">
        <f>'FPC wSEB'!D374-SEB!D374</f>
        <v>2219462</v>
      </c>
      <c r="E374" s="19">
        <f>'FPC wSEB'!E374-SEB!E374</f>
        <v>1210407</v>
      </c>
      <c r="F374" s="19">
        <f>'FPC wSEB'!F374-SEB!F374</f>
        <v>373081</v>
      </c>
      <c r="G374" s="19">
        <f>'FPC wSEB'!G374-SEB!G374</f>
        <v>112238</v>
      </c>
      <c r="H374" s="20">
        <f>'FPC wSEB'!H374-SEB!H374</f>
        <v>260843</v>
      </c>
      <c r="I374" s="19">
        <f>'FPC wSEB'!I374-SEB!I374</f>
        <v>2261</v>
      </c>
      <c r="J374" s="19">
        <f>'FPC wSEB'!J374-SEB!J374</f>
        <v>317492</v>
      </c>
      <c r="K374" s="19">
        <f>'FPC wSEB'!K374</f>
        <v>218160</v>
      </c>
      <c r="L374" s="19">
        <f>'FPC wSEB'!L374</f>
        <v>317342</v>
      </c>
      <c r="U374" s="2">
        <f t="shared" si="31"/>
        <v>2005</v>
      </c>
      <c r="V374" s="2">
        <f t="shared" si="32"/>
        <v>9</v>
      </c>
      <c r="W374" s="19">
        <f t="shared" si="45"/>
        <v>1586158</v>
      </c>
      <c r="X374" s="19">
        <f>'FPC wSEB'!X374-SEB!Q374</f>
        <v>1399798</v>
      </c>
      <c r="Y374" s="19">
        <f>'FPC wSEB'!Y374-SEB!R374</f>
        <v>161003</v>
      </c>
      <c r="Z374" s="19">
        <f>'FPC wSEB'!Z374-SEB!S374</f>
        <v>2734</v>
      </c>
      <c r="AA374" s="19">
        <f>'FPC wSEB'!AA374-SEB!T374</f>
        <v>1763</v>
      </c>
      <c r="AB374" s="19">
        <f>'FPC wSEB'!AB374-SEB!U374</f>
        <v>20836</v>
      </c>
      <c r="AC374" s="19">
        <f>'FPC wSEB'!AC374</f>
        <v>7</v>
      </c>
      <c r="AD374" s="19">
        <f>'FPC wSEB'!AD374</f>
        <v>17</v>
      </c>
    </row>
    <row r="375" spans="1:30">
      <c r="A375" s="2">
        <f t="shared" si="28"/>
        <v>2005</v>
      </c>
      <c r="B375" s="2">
        <f t="shared" si="29"/>
        <v>10</v>
      </c>
      <c r="C375" s="19">
        <f t="shared" si="46"/>
        <v>4050798</v>
      </c>
      <c r="D375" s="19">
        <f>'FPC wSEB'!D375-SEB!D375</f>
        <v>1833540</v>
      </c>
      <c r="E375" s="19">
        <f>'FPC wSEB'!E375-SEB!E375</f>
        <v>1044373</v>
      </c>
      <c r="F375" s="19">
        <f>'FPC wSEB'!F375-SEB!F375</f>
        <v>357426</v>
      </c>
      <c r="G375" s="19">
        <f>'FPC wSEB'!G375-SEB!G375</f>
        <v>111173</v>
      </c>
      <c r="H375" s="20">
        <f>'FPC wSEB'!H375-SEB!H375</f>
        <v>246253</v>
      </c>
      <c r="I375" s="19">
        <f>'FPC wSEB'!I375-SEB!I375</f>
        <v>2251</v>
      </c>
      <c r="J375" s="19">
        <f>'FPC wSEB'!J375-SEB!J375</f>
        <v>297158</v>
      </c>
      <c r="K375" s="19">
        <f>'FPC wSEB'!K375</f>
        <v>212521</v>
      </c>
      <c r="L375" s="19">
        <f>'FPC wSEB'!L375</f>
        <v>303529</v>
      </c>
      <c r="U375" s="2">
        <f t="shared" si="31"/>
        <v>2005</v>
      </c>
      <c r="V375" s="2">
        <f t="shared" si="32"/>
        <v>10</v>
      </c>
      <c r="W375" s="19">
        <f t="shared" ref="W375:W380" si="47">SUM(X375:AD375)</f>
        <v>1568608</v>
      </c>
      <c r="X375" s="19">
        <f>'FPC wSEB'!X375-SEB!Q375</f>
        <v>1384748</v>
      </c>
      <c r="Y375" s="19">
        <f>'FPC wSEB'!Y375-SEB!R375</f>
        <v>158789</v>
      </c>
      <c r="Z375" s="19">
        <f>'FPC wSEB'!Z375-SEB!S375</f>
        <v>2683</v>
      </c>
      <c r="AA375" s="19">
        <f>'FPC wSEB'!AA375-SEB!T375</f>
        <v>1757</v>
      </c>
      <c r="AB375" s="19">
        <f>'FPC wSEB'!AB375-SEB!U375</f>
        <v>20605</v>
      </c>
      <c r="AC375" s="19">
        <f>'FPC wSEB'!AC375</f>
        <v>7</v>
      </c>
      <c r="AD375" s="19">
        <f>'FPC wSEB'!AD375</f>
        <v>19</v>
      </c>
    </row>
    <row r="376" spans="1:30">
      <c r="A376" s="2">
        <f t="shared" si="28"/>
        <v>2005</v>
      </c>
      <c r="B376" s="2">
        <f t="shared" si="29"/>
        <v>11</v>
      </c>
      <c r="C376" s="19">
        <f t="shared" si="46"/>
        <v>3483519</v>
      </c>
      <c r="D376" s="19">
        <f>'FPC wSEB'!D376-SEB!D376</f>
        <v>1425823</v>
      </c>
      <c r="E376" s="19">
        <f>'FPC wSEB'!E376-SEB!E376</f>
        <v>981000</v>
      </c>
      <c r="F376" s="19">
        <f>'FPC wSEB'!F376-SEB!F376</f>
        <v>357308</v>
      </c>
      <c r="G376" s="19">
        <f>'FPC wSEB'!G376-SEB!G376</f>
        <v>116527</v>
      </c>
      <c r="H376" s="20">
        <f>'FPC wSEB'!H376-SEB!H376</f>
        <v>240781</v>
      </c>
      <c r="I376" s="19">
        <f>'FPC wSEB'!I376-SEB!I376</f>
        <v>2256</v>
      </c>
      <c r="J376" s="19">
        <f>'FPC wSEB'!J376-SEB!J376</f>
        <v>268038</v>
      </c>
      <c r="K376" s="19">
        <f>'FPC wSEB'!K376</f>
        <v>169909</v>
      </c>
      <c r="L376" s="19">
        <f>'FPC wSEB'!L376</f>
        <v>279185</v>
      </c>
      <c r="U376" s="2">
        <f t="shared" si="31"/>
        <v>2005</v>
      </c>
      <c r="V376" s="2">
        <f t="shared" si="32"/>
        <v>11</v>
      </c>
      <c r="W376" s="19">
        <f t="shared" si="47"/>
        <v>1625909</v>
      </c>
      <c r="X376" s="19">
        <f>'FPC wSEB'!X376-SEB!Q376</f>
        <v>1436305</v>
      </c>
      <c r="Y376" s="19">
        <f>'FPC wSEB'!Y376-SEB!R376</f>
        <v>163877</v>
      </c>
      <c r="Z376" s="19">
        <f>'FPC wSEB'!Z376-SEB!S376</f>
        <v>2759</v>
      </c>
      <c r="AA376" s="19">
        <f>'FPC wSEB'!AA376-SEB!T376</f>
        <v>1758</v>
      </c>
      <c r="AB376" s="19">
        <f>'FPC wSEB'!AB376-SEB!U376</f>
        <v>21185</v>
      </c>
      <c r="AC376" s="19">
        <f>'FPC wSEB'!AC376</f>
        <v>7</v>
      </c>
      <c r="AD376" s="19">
        <f>'FPC wSEB'!AD376</f>
        <v>18</v>
      </c>
    </row>
    <row r="377" spans="1:30">
      <c r="A377" s="2">
        <f t="shared" si="28"/>
        <v>2005</v>
      </c>
      <c r="B377" s="2">
        <f t="shared" si="29"/>
        <v>12</v>
      </c>
      <c r="C377" s="19">
        <f t="shared" si="46"/>
        <v>3198916</v>
      </c>
      <c r="D377" s="19">
        <f>'FPC wSEB'!D377-SEB!D377</f>
        <v>1364731</v>
      </c>
      <c r="E377" s="19">
        <f>'FPC wSEB'!E377-SEB!E377</f>
        <v>888514</v>
      </c>
      <c r="F377" s="19">
        <f>'FPC wSEB'!F377-SEB!F377</f>
        <v>331782</v>
      </c>
      <c r="G377" s="19">
        <f>'FPC wSEB'!G377-SEB!G377</f>
        <v>110755</v>
      </c>
      <c r="H377" s="20">
        <f>'FPC wSEB'!H377-SEB!H377</f>
        <v>221027</v>
      </c>
      <c r="I377" s="19">
        <f>'FPC wSEB'!I377-SEB!I377</f>
        <v>2250</v>
      </c>
      <c r="J377" s="19">
        <f>'FPC wSEB'!J377-SEB!J377</f>
        <v>253007</v>
      </c>
      <c r="K377" s="19">
        <f>'FPC wSEB'!K377</f>
        <v>113707</v>
      </c>
      <c r="L377" s="19">
        <f>'FPC wSEB'!L377</f>
        <v>244925</v>
      </c>
      <c r="U377" s="2">
        <f t="shared" si="31"/>
        <v>2005</v>
      </c>
      <c r="V377" s="2">
        <f t="shared" si="32"/>
        <v>12</v>
      </c>
      <c r="W377" s="19">
        <f t="shared" si="47"/>
        <v>1585744</v>
      </c>
      <c r="X377" s="19">
        <f>'FPC wSEB'!X377-SEB!Q377</f>
        <v>1400200</v>
      </c>
      <c r="Y377" s="19">
        <f>'FPC wSEB'!Y377-SEB!R377</f>
        <v>160262</v>
      </c>
      <c r="Z377" s="19">
        <f>'FPC wSEB'!Z377-SEB!S377</f>
        <v>2659</v>
      </c>
      <c r="AA377" s="19">
        <f>'FPC wSEB'!AA377-SEB!T377</f>
        <v>1744</v>
      </c>
      <c r="AB377" s="19">
        <f>'FPC wSEB'!AB377-SEB!U377</f>
        <v>20855</v>
      </c>
      <c r="AC377" s="19">
        <f>'FPC wSEB'!AC377</f>
        <v>7</v>
      </c>
      <c r="AD377" s="19">
        <f>'FPC wSEB'!AD377</f>
        <v>17</v>
      </c>
    </row>
    <row r="378" spans="1:30">
      <c r="A378" s="2">
        <f t="shared" si="28"/>
        <v>2006</v>
      </c>
      <c r="B378" s="2">
        <f t="shared" si="29"/>
        <v>1</v>
      </c>
      <c r="C378" s="19">
        <f t="shared" ref="C378:C383" si="48">SUM(D378:F378,I378:L378)</f>
        <v>3399239</v>
      </c>
      <c r="D378" s="19">
        <f>'FPC wSEB'!D378-SEB!D378</f>
        <v>1562472</v>
      </c>
      <c r="E378" s="19">
        <f>'FPC wSEB'!E378-SEB!E378</f>
        <v>856883</v>
      </c>
      <c r="F378" s="19">
        <f>'FPC wSEB'!F378-SEB!F378</f>
        <v>344832</v>
      </c>
      <c r="G378" s="19">
        <f>'FPC wSEB'!G378-SEB!G378</f>
        <v>117579</v>
      </c>
      <c r="H378" s="20">
        <f>'FPC wSEB'!H378-SEB!H378</f>
        <v>227253</v>
      </c>
      <c r="I378" s="19">
        <f>'FPC wSEB'!I378-SEB!I378</f>
        <v>2284</v>
      </c>
      <c r="J378" s="19">
        <f>'FPC wSEB'!J378-SEB!J378</f>
        <v>234643</v>
      </c>
      <c r="K378" s="19">
        <f>'FPC wSEB'!K378</f>
        <v>138964</v>
      </c>
      <c r="L378" s="19">
        <f>'FPC wSEB'!L378</f>
        <v>259161</v>
      </c>
      <c r="U378" s="2">
        <f t="shared" si="31"/>
        <v>2006</v>
      </c>
      <c r="V378" s="2">
        <f t="shared" si="32"/>
        <v>1</v>
      </c>
      <c r="W378" s="19">
        <f t="shared" si="47"/>
        <v>1568383</v>
      </c>
      <c r="X378" s="19">
        <f>'FPC wSEB'!X378-SEB!Q378</f>
        <v>1384475</v>
      </c>
      <c r="Y378" s="19">
        <f>'FPC wSEB'!Y378-SEB!R378</f>
        <v>158773</v>
      </c>
      <c r="Z378" s="19">
        <f>'FPC wSEB'!Z378-SEB!S378</f>
        <v>2691</v>
      </c>
      <c r="AA378" s="19">
        <f>'FPC wSEB'!AA378-SEB!T378</f>
        <v>1751</v>
      </c>
      <c r="AB378" s="19">
        <f>'FPC wSEB'!AB378-SEB!U378</f>
        <v>20667</v>
      </c>
      <c r="AC378" s="19">
        <f>'FPC wSEB'!AC378</f>
        <v>7</v>
      </c>
      <c r="AD378" s="19">
        <f>'FPC wSEB'!AD378</f>
        <v>19</v>
      </c>
    </row>
    <row r="379" spans="1:30">
      <c r="A379" s="2">
        <f t="shared" si="28"/>
        <v>2006</v>
      </c>
      <c r="B379" s="2">
        <f t="shared" si="29"/>
        <v>2</v>
      </c>
      <c r="C379" s="19">
        <f t="shared" si="48"/>
        <v>3057456</v>
      </c>
      <c r="D379" s="19">
        <f>'FPC wSEB'!D379-SEB!D379</f>
        <v>1415364</v>
      </c>
      <c r="E379" s="19">
        <f>'FPC wSEB'!E379-SEB!E379</f>
        <v>817794</v>
      </c>
      <c r="F379" s="19">
        <f>'FPC wSEB'!F379-SEB!F379</f>
        <v>315489</v>
      </c>
      <c r="G379" s="19">
        <f>'FPC wSEB'!G379-SEB!G379</f>
        <v>101044</v>
      </c>
      <c r="H379" s="20">
        <f>'FPC wSEB'!H379-SEB!H379</f>
        <v>214445</v>
      </c>
      <c r="I379" s="19">
        <f>'FPC wSEB'!I379-SEB!I379</f>
        <v>2109</v>
      </c>
      <c r="J379" s="19">
        <f>'FPC wSEB'!J379-SEB!J379</f>
        <v>239467</v>
      </c>
      <c r="K379" s="19">
        <f>'FPC wSEB'!K379</f>
        <v>84166</v>
      </c>
      <c r="L379" s="19">
        <f>'FPC wSEB'!L379</f>
        <v>183067</v>
      </c>
      <c r="U379" s="2">
        <f t="shared" si="31"/>
        <v>2006</v>
      </c>
      <c r="V379" s="2">
        <f t="shared" si="32"/>
        <v>2</v>
      </c>
      <c r="W379" s="19">
        <f t="shared" si="47"/>
        <v>1594861</v>
      </c>
      <c r="X379" s="19">
        <f>'FPC wSEB'!X379-SEB!Q379</f>
        <v>1409000</v>
      </c>
      <c r="Y379" s="19">
        <f>'FPC wSEB'!Y379-SEB!R379</f>
        <v>160527</v>
      </c>
      <c r="Z379" s="19">
        <f>'FPC wSEB'!Z379-SEB!S379</f>
        <v>2704</v>
      </c>
      <c r="AA379" s="19">
        <f>'FPC wSEB'!AA379-SEB!T379</f>
        <v>1741</v>
      </c>
      <c r="AB379" s="19">
        <f>'FPC wSEB'!AB379-SEB!U379</f>
        <v>20866</v>
      </c>
      <c r="AC379" s="19">
        <f>'FPC wSEB'!AC379</f>
        <v>6</v>
      </c>
      <c r="AD379" s="19">
        <f>'FPC wSEB'!AD379</f>
        <v>17</v>
      </c>
    </row>
    <row r="380" spans="1:30">
      <c r="A380" s="2">
        <f t="shared" si="28"/>
        <v>2006</v>
      </c>
      <c r="B380" s="2">
        <f t="shared" si="29"/>
        <v>3</v>
      </c>
      <c r="C380" s="19">
        <f t="shared" si="48"/>
        <v>3002063</v>
      </c>
      <c r="D380" s="19">
        <f>'FPC wSEB'!D380-SEB!D380</f>
        <v>1304214</v>
      </c>
      <c r="E380" s="19">
        <f>'FPC wSEB'!E380-SEB!E380</f>
        <v>856235</v>
      </c>
      <c r="F380" s="19">
        <f>'FPC wSEB'!F380-SEB!F380</f>
        <v>345632</v>
      </c>
      <c r="G380" s="19">
        <f>'FPC wSEB'!G380-SEB!G380</f>
        <v>110189</v>
      </c>
      <c r="H380" s="20">
        <f>'FPC wSEB'!H380-SEB!H380</f>
        <v>235443</v>
      </c>
      <c r="I380" s="19">
        <f>'FPC wSEB'!I380-SEB!I380</f>
        <v>2237</v>
      </c>
      <c r="J380" s="19">
        <f>'FPC wSEB'!J380-SEB!J380</f>
        <v>235356</v>
      </c>
      <c r="K380" s="19">
        <f>'FPC wSEB'!K380</f>
        <v>84390</v>
      </c>
      <c r="L380" s="19">
        <f>'FPC wSEB'!L380</f>
        <v>173999</v>
      </c>
      <c r="U380" s="2">
        <f t="shared" si="31"/>
        <v>2006</v>
      </c>
      <c r="V380" s="2">
        <f t="shared" si="32"/>
        <v>3</v>
      </c>
      <c r="W380" s="19">
        <f t="shared" si="47"/>
        <v>1613751</v>
      </c>
      <c r="X380" s="19">
        <f>'FPC wSEB'!X380-SEB!Q380</f>
        <v>1425676</v>
      </c>
      <c r="Y380" s="19">
        <f>'FPC wSEB'!Y380-SEB!R380</f>
        <v>162532</v>
      </c>
      <c r="Z380" s="19">
        <f>'FPC wSEB'!Z380-SEB!S380</f>
        <v>2713</v>
      </c>
      <c r="AA380" s="19">
        <f>'FPC wSEB'!AA380-SEB!T380</f>
        <v>1743</v>
      </c>
      <c r="AB380" s="19">
        <f>'FPC wSEB'!AB380-SEB!U380</f>
        <v>21059</v>
      </c>
      <c r="AC380" s="19">
        <f>'FPC wSEB'!AC380</f>
        <v>8</v>
      </c>
      <c r="AD380" s="19">
        <f>'FPC wSEB'!AD380</f>
        <v>20</v>
      </c>
    </row>
    <row r="381" spans="1:30">
      <c r="A381" s="2">
        <f t="shared" si="28"/>
        <v>2006</v>
      </c>
      <c r="B381" s="2">
        <f t="shared" si="29"/>
        <v>4</v>
      </c>
      <c r="C381" s="19">
        <f t="shared" si="48"/>
        <v>3029809</v>
      </c>
      <c r="D381" s="19">
        <f>'FPC wSEB'!D381-SEB!D381</f>
        <v>1281592</v>
      </c>
      <c r="E381" s="19">
        <f>'FPC wSEB'!E381-SEB!E381</f>
        <v>881691</v>
      </c>
      <c r="F381" s="19">
        <f>'FPC wSEB'!F381-SEB!F381</f>
        <v>349935</v>
      </c>
      <c r="G381" s="19">
        <f>'FPC wSEB'!G381-SEB!G381</f>
        <v>113580</v>
      </c>
      <c r="H381" s="20">
        <f>'FPC wSEB'!H381-SEB!H381</f>
        <v>236355</v>
      </c>
      <c r="I381" s="19">
        <f>'FPC wSEB'!I381-SEB!I381</f>
        <v>2216</v>
      </c>
      <c r="J381" s="19">
        <f>'FPC wSEB'!J381-SEB!J381</f>
        <v>244555</v>
      </c>
      <c r="K381" s="19">
        <f>'FPC wSEB'!K381</f>
        <v>85950</v>
      </c>
      <c r="L381" s="19">
        <f>'FPC wSEB'!L381</f>
        <v>183870</v>
      </c>
      <c r="U381" s="2">
        <f t="shared" si="31"/>
        <v>2006</v>
      </c>
      <c r="V381" s="2">
        <f t="shared" si="32"/>
        <v>4</v>
      </c>
      <c r="W381" s="19">
        <f t="shared" ref="W381:W386" si="49">SUM(X381:AD381)</f>
        <v>1584087</v>
      </c>
      <c r="X381" s="19">
        <f>'FPC wSEB'!X381-SEB!Q381</f>
        <v>1400091</v>
      </c>
      <c r="Y381" s="19">
        <f>'FPC wSEB'!Y381-SEB!R381</f>
        <v>158915</v>
      </c>
      <c r="Z381" s="19">
        <f>'FPC wSEB'!Z381-SEB!S381</f>
        <v>2669</v>
      </c>
      <c r="AA381" s="19">
        <f>'FPC wSEB'!AA381-SEB!T381</f>
        <v>1740</v>
      </c>
      <c r="AB381" s="19">
        <f>'FPC wSEB'!AB381-SEB!U381</f>
        <v>20650</v>
      </c>
      <c r="AC381" s="19">
        <f>'FPC wSEB'!AC381</f>
        <v>6</v>
      </c>
      <c r="AD381" s="19">
        <f>'FPC wSEB'!AD381</f>
        <v>16</v>
      </c>
    </row>
    <row r="382" spans="1:30">
      <c r="A382" s="2">
        <f t="shared" si="28"/>
        <v>2006</v>
      </c>
      <c r="B382" s="2">
        <f t="shared" si="29"/>
        <v>5</v>
      </c>
      <c r="C382" s="19">
        <f t="shared" si="48"/>
        <v>3461561</v>
      </c>
      <c r="D382" s="19">
        <f>'FPC wSEB'!D382-SEB!D382</f>
        <v>1551740</v>
      </c>
      <c r="E382" s="19">
        <f>'FPC wSEB'!E382-SEB!E382</f>
        <v>993697</v>
      </c>
      <c r="F382" s="19">
        <f>'FPC wSEB'!F382-SEB!F382</f>
        <v>368045</v>
      </c>
      <c r="G382" s="19">
        <f>'FPC wSEB'!G382-SEB!G382</f>
        <v>114510</v>
      </c>
      <c r="H382" s="20">
        <f>'FPC wSEB'!H382-SEB!H382</f>
        <v>253535</v>
      </c>
      <c r="I382" s="19">
        <f>'FPC wSEB'!I382-SEB!I382</f>
        <v>2211</v>
      </c>
      <c r="J382" s="19">
        <f>'FPC wSEB'!J382-SEB!J382</f>
        <v>269206</v>
      </c>
      <c r="K382" s="19">
        <f>'FPC wSEB'!K382</f>
        <v>82807</v>
      </c>
      <c r="L382" s="19">
        <f>'FPC wSEB'!L382</f>
        <v>193855</v>
      </c>
      <c r="U382" s="2">
        <f t="shared" si="31"/>
        <v>2006</v>
      </c>
      <c r="V382" s="2">
        <f t="shared" si="32"/>
        <v>5</v>
      </c>
      <c r="W382" s="19">
        <f t="shared" si="49"/>
        <v>1605606</v>
      </c>
      <c r="X382" s="19">
        <f>'FPC wSEB'!X382-SEB!Q382</f>
        <v>1418296</v>
      </c>
      <c r="Y382" s="19">
        <f>'FPC wSEB'!Y382-SEB!R382</f>
        <v>161689</v>
      </c>
      <c r="Z382" s="19">
        <f>'FPC wSEB'!Z382-SEB!S382</f>
        <v>2737</v>
      </c>
      <c r="AA382" s="19">
        <f>'FPC wSEB'!AA382-SEB!T382</f>
        <v>1750</v>
      </c>
      <c r="AB382" s="19">
        <f>'FPC wSEB'!AB382-SEB!U382</f>
        <v>21112</v>
      </c>
      <c r="AC382" s="19">
        <f>'FPC wSEB'!AC382</f>
        <v>6</v>
      </c>
      <c r="AD382" s="19">
        <f>'FPC wSEB'!AD382</f>
        <v>16</v>
      </c>
    </row>
    <row r="383" spans="1:30">
      <c r="A383" s="2">
        <f t="shared" si="28"/>
        <v>2006</v>
      </c>
      <c r="B383" s="2">
        <f t="shared" si="29"/>
        <v>6</v>
      </c>
      <c r="C383" s="19">
        <f t="shared" si="48"/>
        <v>3936381</v>
      </c>
      <c r="D383" s="19">
        <f>'FPC wSEB'!D383-SEB!D383</f>
        <v>1875851</v>
      </c>
      <c r="E383" s="19">
        <f>'FPC wSEB'!E383-SEB!E383</f>
        <v>1102672</v>
      </c>
      <c r="F383" s="19">
        <f>'FPC wSEB'!F383-SEB!F383</f>
        <v>380263</v>
      </c>
      <c r="G383" s="19">
        <f>'FPC wSEB'!G383-SEB!G383</f>
        <v>129212</v>
      </c>
      <c r="H383" s="20">
        <f>'FPC wSEB'!H383-SEB!H383</f>
        <v>251051</v>
      </c>
      <c r="I383" s="19">
        <f>'FPC wSEB'!I383-SEB!I383</f>
        <v>2191</v>
      </c>
      <c r="J383" s="19">
        <f>'FPC wSEB'!J383-SEB!J383</f>
        <v>275517</v>
      </c>
      <c r="K383" s="19">
        <f>'FPC wSEB'!K383</f>
        <v>82816</v>
      </c>
      <c r="L383" s="19">
        <f>'FPC wSEB'!L383</f>
        <v>217071</v>
      </c>
      <c r="U383" s="2">
        <f t="shared" si="31"/>
        <v>2006</v>
      </c>
      <c r="V383" s="2">
        <f t="shared" si="32"/>
        <v>6</v>
      </c>
      <c r="W383" s="19">
        <f t="shared" si="49"/>
        <v>1608959</v>
      </c>
      <c r="X383" s="19">
        <f>'FPC wSEB'!X383-SEB!Q383</f>
        <v>1421380</v>
      </c>
      <c r="Y383" s="19">
        <f>'FPC wSEB'!Y383-SEB!R383</f>
        <v>162045</v>
      </c>
      <c r="Z383" s="19">
        <f>'FPC wSEB'!Z383-SEB!S383</f>
        <v>2686</v>
      </c>
      <c r="AA383" s="19">
        <f>'FPC wSEB'!AA383-SEB!T383</f>
        <v>1732</v>
      </c>
      <c r="AB383" s="19">
        <f>'FPC wSEB'!AB383-SEB!U383</f>
        <v>21093</v>
      </c>
      <c r="AC383" s="19">
        <f>'FPC wSEB'!AC383</f>
        <v>6</v>
      </c>
      <c r="AD383" s="19">
        <f>'FPC wSEB'!AD383</f>
        <v>17</v>
      </c>
    </row>
    <row r="384" spans="1:30">
      <c r="A384" s="2">
        <f t="shared" si="28"/>
        <v>2006</v>
      </c>
      <c r="B384" s="2">
        <f t="shared" si="29"/>
        <v>7</v>
      </c>
      <c r="C384" s="19">
        <f t="shared" ref="C384:C389" si="50">SUM(D384:F384,I384:L384)</f>
        <v>4032773</v>
      </c>
      <c r="D384" s="19">
        <f>'FPC wSEB'!D384-SEB!D384</f>
        <v>1945321</v>
      </c>
      <c r="E384" s="19">
        <f>'FPC wSEB'!E384-SEB!E384</f>
        <v>1090634</v>
      </c>
      <c r="F384" s="19">
        <f>'FPC wSEB'!F384-SEB!F384</f>
        <v>332265</v>
      </c>
      <c r="G384" s="19">
        <f>'FPC wSEB'!G384-SEB!G384</f>
        <v>91507</v>
      </c>
      <c r="H384" s="20">
        <f>'FPC wSEB'!H384-SEB!H384</f>
        <v>240758</v>
      </c>
      <c r="I384" s="19">
        <f>'FPC wSEB'!I384-SEB!I384</f>
        <v>2229</v>
      </c>
      <c r="J384" s="19">
        <f>'FPC wSEB'!J384-SEB!J384</f>
        <v>279015</v>
      </c>
      <c r="K384" s="19">
        <f>'FPC wSEB'!K384</f>
        <v>142744</v>
      </c>
      <c r="L384" s="19">
        <f>'FPC wSEB'!L384</f>
        <v>240565</v>
      </c>
      <c r="U384" s="2">
        <f t="shared" si="31"/>
        <v>2006</v>
      </c>
      <c r="V384" s="2">
        <f t="shared" si="32"/>
        <v>7</v>
      </c>
      <c r="W384" s="19">
        <f t="shared" si="49"/>
        <v>1521293</v>
      </c>
      <c r="X384" s="19">
        <f>'FPC wSEB'!X384-SEB!Q384</f>
        <v>1341310</v>
      </c>
      <c r="Y384" s="19">
        <f>'FPC wSEB'!Y384-SEB!R384</f>
        <v>155099</v>
      </c>
      <c r="Z384" s="19">
        <f>'FPC wSEB'!Z384-SEB!S384</f>
        <v>2663</v>
      </c>
      <c r="AA384" s="19">
        <f>'FPC wSEB'!AA384-SEB!T384</f>
        <v>1732</v>
      </c>
      <c r="AB384" s="19">
        <f>'FPC wSEB'!AB384-SEB!U384</f>
        <v>20467</v>
      </c>
      <c r="AC384" s="19">
        <f>'FPC wSEB'!AC384</f>
        <v>6</v>
      </c>
      <c r="AD384" s="19">
        <f>'FPC wSEB'!AD384</f>
        <v>16</v>
      </c>
    </row>
    <row r="385" spans="1:30">
      <c r="A385" s="2">
        <f t="shared" si="28"/>
        <v>2006</v>
      </c>
      <c r="B385" s="2">
        <f t="shared" si="29"/>
        <v>8</v>
      </c>
      <c r="C385" s="19">
        <f t="shared" si="50"/>
        <v>4616065</v>
      </c>
      <c r="D385" s="19">
        <f>'FPC wSEB'!D385-SEB!D385</f>
        <v>2306794</v>
      </c>
      <c r="E385" s="19">
        <f>'FPC wSEB'!E385-SEB!E385</f>
        <v>1204471</v>
      </c>
      <c r="F385" s="19">
        <f>'FPC wSEB'!F385-SEB!F385</f>
        <v>361529</v>
      </c>
      <c r="G385" s="19">
        <f>'FPC wSEB'!G385-SEB!G385</f>
        <v>96659</v>
      </c>
      <c r="H385" s="20">
        <f>'FPC wSEB'!H385-SEB!H385</f>
        <v>264870</v>
      </c>
      <c r="I385" s="19">
        <f>'FPC wSEB'!I385-SEB!I385</f>
        <v>2214</v>
      </c>
      <c r="J385" s="19">
        <f>'FPC wSEB'!J385-SEB!J385</f>
        <v>296510</v>
      </c>
      <c r="K385" s="19">
        <f>'FPC wSEB'!K385</f>
        <v>187275</v>
      </c>
      <c r="L385" s="19">
        <f>'FPC wSEB'!L385</f>
        <v>257272</v>
      </c>
      <c r="U385" s="2">
        <f t="shared" si="31"/>
        <v>2006</v>
      </c>
      <c r="V385" s="2">
        <f t="shared" si="32"/>
        <v>8</v>
      </c>
      <c r="W385" s="19">
        <f t="shared" si="49"/>
        <v>1677872</v>
      </c>
      <c r="X385" s="19">
        <f>'FPC wSEB'!X385-SEB!Q385</f>
        <v>1484978</v>
      </c>
      <c r="Y385" s="19">
        <f>'FPC wSEB'!Y385-SEB!R385</f>
        <v>166708</v>
      </c>
      <c r="Z385" s="19">
        <f>'FPC wSEB'!Z385-SEB!S385</f>
        <v>2751</v>
      </c>
      <c r="AA385" s="19">
        <f>'FPC wSEB'!AA385-SEB!T385</f>
        <v>1732</v>
      </c>
      <c r="AB385" s="19">
        <f>'FPC wSEB'!AB385-SEB!U385</f>
        <v>21681</v>
      </c>
      <c r="AC385" s="19">
        <f>'FPC wSEB'!AC385</f>
        <v>6</v>
      </c>
      <c r="AD385" s="19">
        <f>'FPC wSEB'!AD385</f>
        <v>16</v>
      </c>
    </row>
    <row r="386" spans="1:30">
      <c r="A386" s="2">
        <f t="shared" si="28"/>
        <v>2006</v>
      </c>
      <c r="B386" s="2">
        <f t="shared" si="29"/>
        <v>9</v>
      </c>
      <c r="C386" s="19">
        <f t="shared" si="50"/>
        <v>4433118</v>
      </c>
      <c r="D386" s="19">
        <f>'FPC wSEB'!D386-SEB!D386</f>
        <v>2080477</v>
      </c>
      <c r="E386" s="19">
        <f>'FPC wSEB'!E386-SEB!E386</f>
        <v>1157396</v>
      </c>
      <c r="F386" s="19">
        <f>'FPC wSEB'!F386-SEB!F386</f>
        <v>371972</v>
      </c>
      <c r="G386" s="19">
        <f>'FPC wSEB'!G386-SEB!G386</f>
        <v>111544</v>
      </c>
      <c r="H386" s="20">
        <f>'FPC wSEB'!H386-SEB!H386</f>
        <v>260428</v>
      </c>
      <c r="I386" s="19">
        <f>'FPC wSEB'!I386-SEB!I386</f>
        <v>2056</v>
      </c>
      <c r="J386" s="19">
        <f>'FPC wSEB'!J386-SEB!J386</f>
        <v>316106</v>
      </c>
      <c r="K386" s="19">
        <f>'FPC wSEB'!K386</f>
        <v>238090</v>
      </c>
      <c r="L386" s="19">
        <f>'FPC wSEB'!L386</f>
        <v>267021</v>
      </c>
      <c r="U386" s="2">
        <f t="shared" si="31"/>
        <v>2006</v>
      </c>
      <c r="V386" s="2">
        <f t="shared" si="32"/>
        <v>9</v>
      </c>
      <c r="W386" s="19">
        <f t="shared" si="49"/>
        <v>1614814</v>
      </c>
      <c r="X386" s="19">
        <f>'FPC wSEB'!X386-SEB!Q386</f>
        <v>1427609</v>
      </c>
      <c r="Y386" s="19">
        <f>'FPC wSEB'!Y386-SEB!R386</f>
        <v>161438</v>
      </c>
      <c r="Z386" s="19">
        <f>'FPC wSEB'!Z386-SEB!S386</f>
        <v>2634</v>
      </c>
      <c r="AA386" s="19">
        <f>'FPC wSEB'!AA386-SEB!T386</f>
        <v>1724</v>
      </c>
      <c r="AB386" s="19">
        <f>'FPC wSEB'!AB386-SEB!U386</f>
        <v>21387</v>
      </c>
      <c r="AC386" s="19">
        <f>'FPC wSEB'!AC386</f>
        <v>6</v>
      </c>
      <c r="AD386" s="19">
        <f>'FPC wSEB'!AD386</f>
        <v>16</v>
      </c>
    </row>
    <row r="387" spans="1:30">
      <c r="A387" s="2">
        <f t="shared" si="28"/>
        <v>2006</v>
      </c>
      <c r="B387" s="2">
        <f t="shared" si="29"/>
        <v>10</v>
      </c>
      <c r="C387" s="19">
        <f t="shared" si="50"/>
        <v>3813729</v>
      </c>
      <c r="D387" s="19">
        <f>'FPC wSEB'!D387-SEB!D387</f>
        <v>1703681</v>
      </c>
      <c r="E387" s="19">
        <f>'FPC wSEB'!E387-SEB!E387</f>
        <v>1017029</v>
      </c>
      <c r="F387" s="19">
        <f>'FPC wSEB'!F387-SEB!F387</f>
        <v>325405</v>
      </c>
      <c r="G387" s="19">
        <f>'FPC wSEB'!G387-SEB!G387</f>
        <v>88402</v>
      </c>
      <c r="H387" s="20">
        <f>'FPC wSEB'!H387-SEB!H387</f>
        <v>237003</v>
      </c>
      <c r="I387" s="19">
        <f>'FPC wSEB'!I387-SEB!I387</f>
        <v>2402</v>
      </c>
      <c r="J387" s="19">
        <f>'FPC wSEB'!J387-SEB!J387</f>
        <v>290563</v>
      </c>
      <c r="K387" s="19">
        <f>'FPC wSEB'!K387</f>
        <v>246216</v>
      </c>
      <c r="L387" s="19">
        <f>'FPC wSEB'!L387</f>
        <v>228433</v>
      </c>
      <c r="U387" s="2">
        <f t="shared" si="31"/>
        <v>2006</v>
      </c>
      <c r="V387" s="2">
        <f t="shared" si="32"/>
        <v>10</v>
      </c>
      <c r="W387" s="19">
        <f t="shared" ref="W387:W392" si="51">SUM(X387:AD387)</f>
        <v>1542202</v>
      </c>
      <c r="X387" s="19">
        <f>'FPC wSEB'!X387-SEB!Q387</f>
        <v>1359746</v>
      </c>
      <c r="Y387" s="19">
        <f>'FPC wSEB'!Y387-SEB!R387</f>
        <v>157055</v>
      </c>
      <c r="Z387" s="19">
        <f>'FPC wSEB'!Z387-SEB!S387</f>
        <v>2654</v>
      </c>
      <c r="AA387" s="19">
        <f>'FPC wSEB'!AA387-SEB!T387</f>
        <v>1722</v>
      </c>
      <c r="AB387" s="19">
        <f>'FPC wSEB'!AB387-SEB!U387</f>
        <v>21006</v>
      </c>
      <c r="AC387" s="19">
        <f>'FPC wSEB'!AC387</f>
        <v>4</v>
      </c>
      <c r="AD387" s="19">
        <f>'FPC wSEB'!AD387</f>
        <v>15</v>
      </c>
    </row>
    <row r="388" spans="1:30">
      <c r="A388" s="2">
        <f t="shared" si="28"/>
        <v>2006</v>
      </c>
      <c r="B388" s="2">
        <f t="shared" si="29"/>
        <v>11</v>
      </c>
      <c r="C388" s="19">
        <f t="shared" si="50"/>
        <v>3372441</v>
      </c>
      <c r="D388" s="19">
        <f>'FPC wSEB'!D388-SEB!D388</f>
        <v>1471349</v>
      </c>
      <c r="E388" s="19">
        <f>'FPC wSEB'!E388-SEB!E388</f>
        <v>978131</v>
      </c>
      <c r="F388" s="19">
        <f>'FPC wSEB'!F388-SEB!F388</f>
        <v>331556</v>
      </c>
      <c r="G388" s="19">
        <f>'FPC wSEB'!G388-SEB!G388</f>
        <v>92623</v>
      </c>
      <c r="H388" s="20">
        <f>'FPC wSEB'!H388-SEB!H388</f>
        <v>238933</v>
      </c>
      <c r="I388" s="19">
        <f>'FPC wSEB'!I388-SEB!I388</f>
        <v>2200</v>
      </c>
      <c r="J388" s="19">
        <f>'FPC wSEB'!J388-SEB!J388</f>
        <v>281304</v>
      </c>
      <c r="K388" s="19">
        <f>'FPC wSEB'!K388</f>
        <v>81854</v>
      </c>
      <c r="L388" s="19">
        <f>'FPC wSEB'!L388</f>
        <v>226047</v>
      </c>
      <c r="U388" s="2">
        <f t="shared" si="31"/>
        <v>2006</v>
      </c>
      <c r="V388" s="2">
        <f t="shared" si="32"/>
        <v>11</v>
      </c>
      <c r="W388" s="19">
        <f t="shared" si="51"/>
        <v>1680484</v>
      </c>
      <c r="X388" s="19">
        <f>'FPC wSEB'!X388-SEB!Q388</f>
        <v>1489208</v>
      </c>
      <c r="Y388" s="19">
        <f>'FPC wSEB'!Y388-SEB!R388</f>
        <v>164876</v>
      </c>
      <c r="Z388" s="19">
        <f>'FPC wSEB'!Z388-SEB!S388</f>
        <v>2697</v>
      </c>
      <c r="AA388" s="19">
        <f>'FPC wSEB'!AA388-SEB!T388</f>
        <v>1717</v>
      </c>
      <c r="AB388" s="19">
        <f>'FPC wSEB'!AB388-SEB!U388</f>
        <v>21965</v>
      </c>
      <c r="AC388" s="19">
        <f>'FPC wSEB'!AC388</f>
        <v>4</v>
      </c>
      <c r="AD388" s="19">
        <f>'FPC wSEB'!AD388</f>
        <v>17</v>
      </c>
    </row>
    <row r="389" spans="1:30">
      <c r="A389" s="2">
        <f t="shared" si="28"/>
        <v>2006</v>
      </c>
      <c r="B389" s="2">
        <f t="shared" si="29"/>
        <v>12</v>
      </c>
      <c r="C389" s="19">
        <f t="shared" si="50"/>
        <v>3231301</v>
      </c>
      <c r="D389" s="19">
        <f>'FPC wSEB'!D389-SEB!D389</f>
        <v>1391388</v>
      </c>
      <c r="E389" s="19">
        <f>'FPC wSEB'!E389-SEB!E389</f>
        <v>914909</v>
      </c>
      <c r="F389" s="19">
        <f>'FPC wSEB'!F389-SEB!F389</f>
        <v>328992</v>
      </c>
      <c r="G389" s="19">
        <f>'FPC wSEB'!G389-SEB!G389</f>
        <v>84628</v>
      </c>
      <c r="H389" s="20">
        <f>'FPC wSEB'!H389-SEB!H389</f>
        <v>244364</v>
      </c>
      <c r="I389" s="19">
        <f>'FPC wSEB'!I389-SEB!I389</f>
        <v>2205</v>
      </c>
      <c r="J389" s="19">
        <f>'FPC wSEB'!J389-SEB!J389</f>
        <v>259263</v>
      </c>
      <c r="K389" s="19">
        <f>'FPC wSEB'!K389</f>
        <v>140729</v>
      </c>
      <c r="L389" s="19">
        <f>'FPC wSEB'!L389</f>
        <v>193815</v>
      </c>
      <c r="U389" s="2">
        <f t="shared" si="31"/>
        <v>2006</v>
      </c>
      <c r="V389" s="2">
        <f t="shared" si="32"/>
        <v>12</v>
      </c>
      <c r="W389" s="19">
        <f t="shared" si="51"/>
        <v>1664677</v>
      </c>
      <c r="X389" s="19">
        <f>'FPC wSEB'!X389-SEB!Q389</f>
        <v>1475257</v>
      </c>
      <c r="Y389" s="19">
        <f>'FPC wSEB'!Y389-SEB!R389</f>
        <v>163175</v>
      </c>
      <c r="Z389" s="19">
        <f>'FPC wSEB'!Z389-SEB!S389</f>
        <v>2703</v>
      </c>
      <c r="AA389" s="19">
        <f>'FPC wSEB'!AA389-SEB!T389</f>
        <v>1706</v>
      </c>
      <c r="AB389" s="19">
        <f>'FPC wSEB'!AB389-SEB!U389</f>
        <v>21816</v>
      </c>
      <c r="AC389" s="19">
        <f>'FPC wSEB'!AC389</f>
        <v>4</v>
      </c>
      <c r="AD389" s="19">
        <f>'FPC wSEB'!AD389</f>
        <v>16</v>
      </c>
    </row>
    <row r="390" spans="1:30">
      <c r="A390" s="2">
        <f t="shared" si="28"/>
        <v>2007</v>
      </c>
      <c r="B390" s="2">
        <f t="shared" si="29"/>
        <v>1</v>
      </c>
      <c r="C390" s="19">
        <f t="shared" ref="C390:C395" si="52">SUM(D390:F390,I390:L390)</f>
        <v>3052351</v>
      </c>
      <c r="D390" s="19">
        <f>'FPC wSEB'!D390-SEB!D390</f>
        <v>1295655</v>
      </c>
      <c r="E390" s="19">
        <f>'FPC wSEB'!E390-SEB!E390</f>
        <v>914729</v>
      </c>
      <c r="F390" s="19">
        <f>'FPC wSEB'!F390-SEB!F390</f>
        <v>283387</v>
      </c>
      <c r="G390" s="19">
        <f>'FPC wSEB'!G390-SEB!G390</f>
        <v>76298</v>
      </c>
      <c r="H390" s="20">
        <f>'FPC wSEB'!H390-SEB!H390</f>
        <v>207089</v>
      </c>
      <c r="I390" s="19">
        <f>'FPC wSEB'!I390-SEB!I390</f>
        <v>2193</v>
      </c>
      <c r="J390" s="19">
        <f>'FPC wSEB'!J390-SEB!J390</f>
        <v>247214</v>
      </c>
      <c r="K390" s="19">
        <f>'FPC wSEB'!K390</f>
        <v>130313</v>
      </c>
      <c r="L390" s="19">
        <f>'FPC wSEB'!L390</f>
        <v>178860</v>
      </c>
      <c r="U390" s="2">
        <f t="shared" si="31"/>
        <v>2007</v>
      </c>
      <c r="V390" s="2">
        <f t="shared" si="32"/>
        <v>1</v>
      </c>
      <c r="W390" s="19">
        <f t="shared" si="51"/>
        <v>1550804</v>
      </c>
      <c r="X390" s="19">
        <f>'FPC wSEB'!X390-SEB!Q390</f>
        <v>1366566</v>
      </c>
      <c r="Y390" s="19">
        <f>'FPC wSEB'!Y390-SEB!R390</f>
        <v>158460</v>
      </c>
      <c r="Z390" s="19">
        <f>'FPC wSEB'!Z390-SEB!S390</f>
        <v>2731</v>
      </c>
      <c r="AA390" s="19">
        <f>'FPC wSEB'!AA390-SEB!T390</f>
        <v>1699</v>
      </c>
      <c r="AB390" s="19">
        <f>'FPC wSEB'!AB390-SEB!U390</f>
        <v>21328</v>
      </c>
      <c r="AC390" s="19">
        <f>'FPC wSEB'!AC390</f>
        <v>4</v>
      </c>
      <c r="AD390" s="19">
        <f>'FPC wSEB'!AD390</f>
        <v>16</v>
      </c>
    </row>
    <row r="391" spans="1:30">
      <c r="A391" s="2">
        <f t="shared" si="28"/>
        <v>2007</v>
      </c>
      <c r="B391" s="2">
        <f t="shared" si="29"/>
        <v>2</v>
      </c>
      <c r="C391" s="19">
        <f t="shared" si="52"/>
        <v>3193532</v>
      </c>
      <c r="D391" s="19">
        <f>'FPC wSEB'!D391-SEB!D391</f>
        <v>1472035</v>
      </c>
      <c r="E391" s="19">
        <f>'FPC wSEB'!E391-SEB!E391</f>
        <v>829474</v>
      </c>
      <c r="F391" s="19">
        <f>'FPC wSEB'!F391-SEB!F391</f>
        <v>317633</v>
      </c>
      <c r="G391" s="19">
        <f>'FPC wSEB'!G391-SEB!G391</f>
        <v>100074</v>
      </c>
      <c r="H391" s="20">
        <f>'FPC wSEB'!H391-SEB!H391</f>
        <v>217559</v>
      </c>
      <c r="I391" s="19">
        <f>'FPC wSEB'!I391-SEB!I391</f>
        <v>2181</v>
      </c>
      <c r="J391" s="19">
        <f>'FPC wSEB'!J391-SEB!J391</f>
        <v>244084</v>
      </c>
      <c r="K391" s="19">
        <f>'FPC wSEB'!K391</f>
        <v>127552</v>
      </c>
      <c r="L391" s="19">
        <f>'FPC wSEB'!L391</f>
        <v>200573</v>
      </c>
      <c r="U391" s="2">
        <f t="shared" si="31"/>
        <v>2007</v>
      </c>
      <c r="V391" s="2">
        <f t="shared" si="32"/>
        <v>2</v>
      </c>
      <c r="W391" s="19">
        <f t="shared" si="51"/>
        <v>1628392</v>
      </c>
      <c r="X391" s="19">
        <f>'FPC wSEB'!X391-SEB!Q391</f>
        <v>1441477</v>
      </c>
      <c r="Y391" s="19">
        <f>'FPC wSEB'!Y391-SEB!R391</f>
        <v>160788</v>
      </c>
      <c r="Z391" s="19">
        <f>'FPC wSEB'!Z391-SEB!S391</f>
        <v>2669</v>
      </c>
      <c r="AA391" s="19">
        <f>'FPC wSEB'!AA391-SEB!T391</f>
        <v>1698</v>
      </c>
      <c r="AB391" s="19">
        <f>'FPC wSEB'!AB391-SEB!U391</f>
        <v>21739</v>
      </c>
      <c r="AC391" s="19">
        <f>'FPC wSEB'!AC391</f>
        <v>4</v>
      </c>
      <c r="AD391" s="19">
        <f>'FPC wSEB'!AD391</f>
        <v>17</v>
      </c>
    </row>
    <row r="392" spans="1:30">
      <c r="A392" s="2">
        <f t="shared" si="28"/>
        <v>2007</v>
      </c>
      <c r="B392" s="2">
        <f t="shared" si="29"/>
        <v>3</v>
      </c>
      <c r="C392" s="19">
        <f t="shared" si="52"/>
        <v>3143775</v>
      </c>
      <c r="D392" s="19">
        <f>'FPC wSEB'!D392-SEB!D392</f>
        <v>1357985</v>
      </c>
      <c r="E392" s="19">
        <f>'FPC wSEB'!E392-SEB!E392</f>
        <v>858022</v>
      </c>
      <c r="F392" s="19">
        <f>'FPC wSEB'!F392-SEB!F392</f>
        <v>291709</v>
      </c>
      <c r="G392" s="19">
        <f>'FPC wSEB'!G392-SEB!G392</f>
        <v>76692</v>
      </c>
      <c r="H392" s="20">
        <f>'FPC wSEB'!H392-SEB!H392</f>
        <v>215017</v>
      </c>
      <c r="I392" s="19">
        <f>'FPC wSEB'!I392-SEB!I392</f>
        <v>2180</v>
      </c>
      <c r="J392" s="19">
        <f>'FPC wSEB'!J392-SEB!J392</f>
        <v>244127</v>
      </c>
      <c r="K392" s="19">
        <f>'FPC wSEB'!K392</f>
        <v>192230</v>
      </c>
      <c r="L392" s="19">
        <f>'FPC wSEB'!L392</f>
        <v>197522</v>
      </c>
      <c r="U392" s="2">
        <f t="shared" si="31"/>
        <v>2007</v>
      </c>
      <c r="V392" s="2">
        <f t="shared" si="32"/>
        <v>3</v>
      </c>
      <c r="W392" s="19">
        <f t="shared" si="51"/>
        <v>1615165</v>
      </c>
      <c r="X392" s="19">
        <f>'FPC wSEB'!X392-SEB!Q392</f>
        <v>1429159</v>
      </c>
      <c r="Y392" s="19">
        <f>'FPC wSEB'!Y392-SEB!R392</f>
        <v>160085</v>
      </c>
      <c r="Z392" s="19">
        <f>'FPC wSEB'!Z392-SEB!S392</f>
        <v>2651</v>
      </c>
      <c r="AA392" s="19">
        <f>'FPC wSEB'!AA392-SEB!T392</f>
        <v>1694</v>
      </c>
      <c r="AB392" s="19">
        <f>'FPC wSEB'!AB392-SEB!U392</f>
        <v>21556</v>
      </c>
      <c r="AC392" s="19">
        <f>'FPC wSEB'!AC392</f>
        <v>4</v>
      </c>
      <c r="AD392" s="19">
        <f>'FPC wSEB'!AD392</f>
        <v>16</v>
      </c>
    </row>
    <row r="393" spans="1:30">
      <c r="A393" s="2">
        <f t="shared" si="28"/>
        <v>2007</v>
      </c>
      <c r="B393" s="2">
        <f t="shared" si="29"/>
        <v>4</v>
      </c>
      <c r="C393" s="19">
        <f t="shared" si="52"/>
        <v>3207432</v>
      </c>
      <c r="D393" s="19">
        <f>'FPC wSEB'!D393-SEB!D393</f>
        <v>1312428</v>
      </c>
      <c r="E393" s="19">
        <f>'FPC wSEB'!E393-SEB!E393</f>
        <v>897482</v>
      </c>
      <c r="F393" s="19">
        <f>'FPC wSEB'!F393-SEB!F393</f>
        <v>313729</v>
      </c>
      <c r="G393" s="19">
        <f>'FPC wSEB'!G393-SEB!G393</f>
        <v>96238</v>
      </c>
      <c r="H393" s="20">
        <f>'FPC wSEB'!H393-SEB!H393</f>
        <v>217491</v>
      </c>
      <c r="I393" s="19">
        <f>'FPC wSEB'!I393-SEB!I393</f>
        <v>2187</v>
      </c>
      <c r="J393" s="19">
        <f>'FPC wSEB'!J393-SEB!J393</f>
        <v>254802</v>
      </c>
      <c r="K393" s="19">
        <f>'FPC wSEB'!K393</f>
        <v>189095</v>
      </c>
      <c r="L393" s="19">
        <f>'FPC wSEB'!L393</f>
        <v>237709</v>
      </c>
      <c r="U393" s="2">
        <f t="shared" si="31"/>
        <v>2007</v>
      </c>
      <c r="V393" s="2">
        <f t="shared" si="32"/>
        <v>4</v>
      </c>
      <c r="W393" s="19">
        <f t="shared" ref="W393:W398" si="53">SUM(X393:AD393)</f>
        <v>1619722</v>
      </c>
      <c r="X393" s="19">
        <f>'FPC wSEB'!X393-SEB!Q393</f>
        <v>1434196</v>
      </c>
      <c r="Y393" s="19">
        <f>'FPC wSEB'!Y393-SEB!R393</f>
        <v>159676</v>
      </c>
      <c r="Z393" s="19">
        <f>'FPC wSEB'!Z393-SEB!S393</f>
        <v>2607</v>
      </c>
      <c r="AA393" s="19">
        <f>'FPC wSEB'!AA393-SEB!T393</f>
        <v>1692</v>
      </c>
      <c r="AB393" s="19">
        <f>'FPC wSEB'!AB393-SEB!U393</f>
        <v>21530</v>
      </c>
      <c r="AC393" s="19">
        <f>'FPC wSEB'!AC393</f>
        <v>4</v>
      </c>
      <c r="AD393" s="19">
        <f>'FPC wSEB'!AD393</f>
        <v>17</v>
      </c>
    </row>
    <row r="394" spans="1:30">
      <c r="A394" s="2">
        <f t="shared" ref="A394:A413" si="54">A382+1</f>
        <v>2007</v>
      </c>
      <c r="B394" s="2">
        <f t="shared" ref="B394:B413" si="55">B382</f>
        <v>5</v>
      </c>
      <c r="C394" s="19">
        <f t="shared" si="52"/>
        <v>3474122</v>
      </c>
      <c r="D394" s="19">
        <f>'FPC wSEB'!D394-SEB!D394</f>
        <v>1461732</v>
      </c>
      <c r="E394" s="19">
        <f>'FPC wSEB'!E394-SEB!E394</f>
        <v>979198</v>
      </c>
      <c r="F394" s="19">
        <f>'FPC wSEB'!F394-SEB!F394</f>
        <v>308194</v>
      </c>
      <c r="G394" s="19">
        <f>'FPC wSEB'!G394-SEB!G394</f>
        <v>81764</v>
      </c>
      <c r="H394" s="20">
        <f>'FPC wSEB'!H394-SEB!H394</f>
        <v>226430</v>
      </c>
      <c r="I394" s="19">
        <f>'FPC wSEB'!I394-SEB!I394</f>
        <v>2176</v>
      </c>
      <c r="J394" s="19">
        <f>'FPC wSEB'!J394-SEB!J394</f>
        <v>270076</v>
      </c>
      <c r="K394" s="19">
        <f>'FPC wSEB'!K394</f>
        <v>214685</v>
      </c>
      <c r="L394" s="19">
        <f>'FPC wSEB'!L394</f>
        <v>238061</v>
      </c>
      <c r="U394" s="2">
        <f t="shared" ref="U394:U413" si="56">U382+1</f>
        <v>2007</v>
      </c>
      <c r="V394" s="2">
        <f t="shared" ref="V394:V413" si="57">V382</f>
        <v>5</v>
      </c>
      <c r="W394" s="19">
        <f t="shared" si="53"/>
        <v>1634414</v>
      </c>
      <c r="X394" s="19">
        <f>'FPC wSEB'!X394-SEB!Q394</f>
        <v>1444816</v>
      </c>
      <c r="Y394" s="19">
        <f>'FPC wSEB'!Y394-SEB!R394</f>
        <v>162857</v>
      </c>
      <c r="Z394" s="19">
        <f>'FPC wSEB'!Z394-SEB!S394</f>
        <v>2701</v>
      </c>
      <c r="AA394" s="19">
        <f>'FPC wSEB'!AA394-SEB!T394</f>
        <v>1696</v>
      </c>
      <c r="AB394" s="19">
        <f>'FPC wSEB'!AB394-SEB!U394</f>
        <v>22323</v>
      </c>
      <c r="AC394" s="19">
        <f>'FPC wSEB'!AC394</f>
        <v>4</v>
      </c>
      <c r="AD394" s="19">
        <f>'FPC wSEB'!AD394</f>
        <v>17</v>
      </c>
    </row>
    <row r="395" spans="1:30">
      <c r="A395" s="2">
        <f t="shared" si="54"/>
        <v>2007</v>
      </c>
      <c r="B395" s="2">
        <f t="shared" si="55"/>
        <v>6</v>
      </c>
      <c r="C395" s="19">
        <f t="shared" si="52"/>
        <v>3814735</v>
      </c>
      <c r="D395" s="19">
        <f>'FPC wSEB'!D395-SEB!D395</f>
        <v>1700180</v>
      </c>
      <c r="E395" s="19">
        <f>'FPC wSEB'!E395-SEB!E395</f>
        <v>1046116</v>
      </c>
      <c r="F395" s="19">
        <f>'FPC wSEB'!F395-SEB!F395</f>
        <v>314854</v>
      </c>
      <c r="G395" s="19">
        <f>'FPC wSEB'!G395-SEB!G395</f>
        <v>85117</v>
      </c>
      <c r="H395" s="20">
        <f>'FPC wSEB'!H395-SEB!H395</f>
        <v>229737</v>
      </c>
      <c r="I395" s="19">
        <f>'FPC wSEB'!I395-SEB!I395</f>
        <v>2184</v>
      </c>
      <c r="J395" s="19">
        <f>'FPC wSEB'!J395-SEB!J395</f>
        <v>273728</v>
      </c>
      <c r="K395" s="19">
        <f>'FPC wSEB'!K395</f>
        <v>222648</v>
      </c>
      <c r="L395" s="19">
        <f>'FPC wSEB'!L395</f>
        <v>255025</v>
      </c>
      <c r="U395" s="2">
        <f t="shared" si="56"/>
        <v>2007</v>
      </c>
      <c r="V395" s="2">
        <f t="shared" si="57"/>
        <v>6</v>
      </c>
      <c r="W395" s="19">
        <f t="shared" si="53"/>
        <v>1616003</v>
      </c>
      <c r="X395" s="19">
        <f>'FPC wSEB'!X395-SEB!Q395</f>
        <v>1427157</v>
      </c>
      <c r="Y395" s="19">
        <f>'FPC wSEB'!Y395-SEB!R395</f>
        <v>162537</v>
      </c>
      <c r="Z395" s="19">
        <f>'FPC wSEB'!Z395-SEB!S395</f>
        <v>2661</v>
      </c>
      <c r="AA395" s="19">
        <f>'FPC wSEB'!AA395-SEB!T395</f>
        <v>1685</v>
      </c>
      <c r="AB395" s="19">
        <f>'FPC wSEB'!AB395-SEB!U395</f>
        <v>21941</v>
      </c>
      <c r="AC395" s="19">
        <f>'FPC wSEB'!AC395</f>
        <v>5</v>
      </c>
      <c r="AD395" s="19">
        <f>'FPC wSEB'!AD395</f>
        <v>17</v>
      </c>
    </row>
    <row r="396" spans="1:30">
      <c r="A396" s="2">
        <f t="shared" si="54"/>
        <v>2007</v>
      </c>
      <c r="B396" s="2">
        <f t="shared" si="55"/>
        <v>7</v>
      </c>
      <c r="C396" s="19">
        <f t="shared" ref="C396:C401" si="58">SUM(D396:F396,I396:L396)</f>
        <v>4198901</v>
      </c>
      <c r="D396" s="19">
        <f>'FPC wSEB'!D396-SEB!D396</f>
        <v>1992916</v>
      </c>
      <c r="E396" s="19">
        <f>'FPC wSEB'!E396-SEB!E396</f>
        <v>1104018</v>
      </c>
      <c r="F396" s="19">
        <f>'FPC wSEB'!F396-SEB!F396</f>
        <v>332108</v>
      </c>
      <c r="G396" s="19">
        <f>'FPC wSEB'!G396-SEB!G396</f>
        <v>89970</v>
      </c>
      <c r="H396" s="20">
        <f>'FPC wSEB'!H396-SEB!H396</f>
        <v>242138</v>
      </c>
      <c r="I396" s="19">
        <f>'FPC wSEB'!I396-SEB!I396</f>
        <v>1995</v>
      </c>
      <c r="J396" s="19">
        <f>'FPC wSEB'!J396-SEB!J396</f>
        <v>280612</v>
      </c>
      <c r="K396" s="19">
        <f>'FPC wSEB'!K396</f>
        <v>225418</v>
      </c>
      <c r="L396" s="19">
        <f>'FPC wSEB'!L396</f>
        <v>261834</v>
      </c>
      <c r="U396" s="2">
        <f t="shared" si="56"/>
        <v>2007</v>
      </c>
      <c r="V396" s="2">
        <f t="shared" si="57"/>
        <v>7</v>
      </c>
      <c r="W396" s="19">
        <f t="shared" si="53"/>
        <v>1535161</v>
      </c>
      <c r="X396" s="19">
        <f>'FPC wSEB'!X396-SEB!Q396</f>
        <v>1355071</v>
      </c>
      <c r="Y396" s="19">
        <f>'FPC wSEB'!Y396-SEB!R396</f>
        <v>154527</v>
      </c>
      <c r="Z396" s="19">
        <f>'FPC wSEB'!Z396-SEB!S396</f>
        <v>2581</v>
      </c>
      <c r="AA396" s="19">
        <f>'FPC wSEB'!AA396-SEB!T396</f>
        <v>1670</v>
      </c>
      <c r="AB396" s="19">
        <f>'FPC wSEB'!AB396-SEB!U396</f>
        <v>21291</v>
      </c>
      <c r="AC396" s="19">
        <f>'FPC wSEB'!AC396</f>
        <v>5</v>
      </c>
      <c r="AD396" s="19">
        <f>'FPC wSEB'!AD396</f>
        <v>16</v>
      </c>
    </row>
    <row r="397" spans="1:30">
      <c r="A397" s="2">
        <f t="shared" si="54"/>
        <v>2007</v>
      </c>
      <c r="B397" s="2">
        <f t="shared" si="55"/>
        <v>8</v>
      </c>
      <c r="C397" s="19">
        <f t="shared" si="58"/>
        <v>4840482</v>
      </c>
      <c r="D397" s="19">
        <f>'FPC wSEB'!D397-SEB!D397</f>
        <v>2369788</v>
      </c>
      <c r="E397" s="19">
        <f>'FPC wSEB'!E397-SEB!E397</f>
        <v>1237534</v>
      </c>
      <c r="F397" s="19">
        <f>'FPC wSEB'!F397-SEB!F397</f>
        <v>344967</v>
      </c>
      <c r="G397" s="19">
        <f>'FPC wSEB'!G397-SEB!G397</f>
        <v>86311</v>
      </c>
      <c r="H397" s="20">
        <f>'FPC wSEB'!H397-SEB!H397</f>
        <v>258656</v>
      </c>
      <c r="I397" s="19">
        <f>'FPC wSEB'!I397-SEB!I397</f>
        <v>2323</v>
      </c>
      <c r="J397" s="19">
        <f>'FPC wSEB'!J397-SEB!J397</f>
        <v>307145</v>
      </c>
      <c r="K397" s="19">
        <f>'FPC wSEB'!K397</f>
        <v>276067</v>
      </c>
      <c r="L397" s="19">
        <f>'FPC wSEB'!L397</f>
        <v>302658</v>
      </c>
      <c r="U397" s="2">
        <f t="shared" si="56"/>
        <v>2007</v>
      </c>
      <c r="V397" s="2">
        <f t="shared" si="57"/>
        <v>8</v>
      </c>
      <c r="W397" s="19">
        <f t="shared" si="53"/>
        <v>1728755</v>
      </c>
      <c r="X397" s="19">
        <f>'FPC wSEB'!X397-SEB!Q397</f>
        <v>1532005</v>
      </c>
      <c r="Y397" s="19">
        <f>'FPC wSEB'!Y397-SEB!R397</f>
        <v>169308</v>
      </c>
      <c r="Z397" s="19">
        <f>'FPC wSEB'!Z397-SEB!S397</f>
        <v>2744</v>
      </c>
      <c r="AA397" s="19">
        <f>'FPC wSEB'!AA397-SEB!T397</f>
        <v>1673</v>
      </c>
      <c r="AB397" s="19">
        <f>'FPC wSEB'!AB397-SEB!U397</f>
        <v>23002</v>
      </c>
      <c r="AC397" s="19">
        <f>'FPC wSEB'!AC397</f>
        <v>5</v>
      </c>
      <c r="AD397" s="19">
        <f>'FPC wSEB'!AD397</f>
        <v>18</v>
      </c>
    </row>
    <row r="398" spans="1:30">
      <c r="A398" s="2">
        <f t="shared" si="54"/>
        <v>2007</v>
      </c>
      <c r="B398" s="2">
        <f t="shared" si="55"/>
        <v>9</v>
      </c>
      <c r="C398" s="19">
        <f t="shared" si="58"/>
        <v>4557304</v>
      </c>
      <c r="D398" s="19">
        <f>'FPC wSEB'!D398-SEB!D398</f>
        <v>2088907</v>
      </c>
      <c r="E398" s="19">
        <f>'FPC wSEB'!E398-SEB!E398</f>
        <v>1183816</v>
      </c>
      <c r="F398" s="19">
        <f>'FPC wSEB'!F398-SEB!F398</f>
        <v>329730</v>
      </c>
      <c r="G398" s="19">
        <f>'FPC wSEB'!G398-SEB!G398</f>
        <v>91939</v>
      </c>
      <c r="H398" s="20">
        <f>'FPC wSEB'!H398-SEB!H398</f>
        <v>237791</v>
      </c>
      <c r="I398" s="19">
        <f>'FPC wSEB'!I398-SEB!I398</f>
        <v>2133</v>
      </c>
      <c r="J398" s="19">
        <f>'FPC wSEB'!J398-SEB!J398</f>
        <v>325294</v>
      </c>
      <c r="K398" s="19">
        <f>'FPC wSEB'!K398</f>
        <v>307091</v>
      </c>
      <c r="L398" s="19">
        <f>'FPC wSEB'!L398</f>
        <v>320333</v>
      </c>
      <c r="U398" s="2">
        <f t="shared" si="56"/>
        <v>2007</v>
      </c>
      <c r="V398" s="2">
        <f t="shared" si="57"/>
        <v>9</v>
      </c>
      <c r="W398" s="19">
        <f t="shared" si="53"/>
        <v>1547829</v>
      </c>
      <c r="X398" s="19">
        <f>'FPC wSEB'!X398-SEB!Q398</f>
        <v>1365294</v>
      </c>
      <c r="Y398" s="19">
        <f>'FPC wSEB'!Y398-SEB!R398</f>
        <v>156618</v>
      </c>
      <c r="Z398" s="19">
        <f>'FPC wSEB'!Z398-SEB!S398</f>
        <v>2619</v>
      </c>
      <c r="AA398" s="19">
        <f>'FPC wSEB'!AA398-SEB!T398</f>
        <v>1663</v>
      </c>
      <c r="AB398" s="19">
        <f>'FPC wSEB'!AB398-SEB!U398</f>
        <v>21613</v>
      </c>
      <c r="AC398" s="19">
        <f>'FPC wSEB'!AC398</f>
        <v>5</v>
      </c>
      <c r="AD398" s="19">
        <f>'FPC wSEB'!AD398</f>
        <v>17</v>
      </c>
    </row>
    <row r="399" spans="1:30">
      <c r="A399" s="2">
        <f t="shared" si="54"/>
        <v>2007</v>
      </c>
      <c r="B399" s="2">
        <f t="shared" si="55"/>
        <v>10</v>
      </c>
      <c r="C399" s="19">
        <f t="shared" si="58"/>
        <v>4157077</v>
      </c>
      <c r="D399" s="19">
        <f>'FPC wSEB'!D399-SEB!D399</f>
        <v>1902350</v>
      </c>
      <c r="E399" s="19">
        <f>'FPC wSEB'!E399-SEB!E399</f>
        <v>1089473</v>
      </c>
      <c r="F399" s="19">
        <f>'FPC wSEB'!F399-SEB!F399</f>
        <v>300727</v>
      </c>
      <c r="G399" s="19">
        <f>'FPC wSEB'!G399-SEB!G399</f>
        <v>74566</v>
      </c>
      <c r="H399" s="20">
        <f>'FPC wSEB'!H399-SEB!H399</f>
        <v>226161</v>
      </c>
      <c r="I399" s="19">
        <f>'FPC wSEB'!I399-SEB!I399</f>
        <v>2183</v>
      </c>
      <c r="J399" s="19">
        <f>'FPC wSEB'!J399-SEB!J399</f>
        <v>307543</v>
      </c>
      <c r="K399" s="19">
        <f>'FPC wSEB'!K399</f>
        <v>278542</v>
      </c>
      <c r="L399" s="19">
        <f>'FPC wSEB'!L399</f>
        <v>276259</v>
      </c>
      <c r="U399" s="2">
        <f t="shared" si="56"/>
        <v>2007</v>
      </c>
      <c r="V399" s="2">
        <f t="shared" si="57"/>
        <v>10</v>
      </c>
      <c r="W399" s="19">
        <f t="shared" ref="W399:W404" si="59">SUM(X399:AD399)</f>
        <v>1618967</v>
      </c>
      <c r="X399" s="19">
        <f>'FPC wSEB'!X399-SEB!Q399</f>
        <v>1431203</v>
      </c>
      <c r="Y399" s="19">
        <f>'FPC wSEB'!Y399-SEB!R399</f>
        <v>161058</v>
      </c>
      <c r="Z399" s="19">
        <f>'FPC wSEB'!Z399-SEB!S399</f>
        <v>2652</v>
      </c>
      <c r="AA399" s="19">
        <f>'FPC wSEB'!AA399-SEB!T399</f>
        <v>1653</v>
      </c>
      <c r="AB399" s="19">
        <f>'FPC wSEB'!AB399-SEB!U399</f>
        <v>22379</v>
      </c>
      <c r="AC399" s="19">
        <f>'FPC wSEB'!AC399</f>
        <v>5</v>
      </c>
      <c r="AD399" s="19">
        <f>'FPC wSEB'!AD399</f>
        <v>17</v>
      </c>
    </row>
    <row r="400" spans="1:30">
      <c r="A400" s="2">
        <f t="shared" si="54"/>
        <v>2007</v>
      </c>
      <c r="B400" s="2">
        <f t="shared" si="55"/>
        <v>11</v>
      </c>
      <c r="C400" s="19">
        <f t="shared" si="58"/>
        <v>3691763</v>
      </c>
      <c r="D400" s="19">
        <f>'FPC wSEB'!D400-SEB!D400</f>
        <v>1534551</v>
      </c>
      <c r="E400" s="19">
        <f>'FPC wSEB'!E400-SEB!E400</f>
        <v>1007206</v>
      </c>
      <c r="F400" s="19">
        <f>'FPC wSEB'!F400-SEB!F400</f>
        <v>327699</v>
      </c>
      <c r="G400" s="19">
        <f>'FPC wSEB'!G400-SEB!G400</f>
        <v>103936</v>
      </c>
      <c r="H400" s="20">
        <f>'FPC wSEB'!H400-SEB!H400</f>
        <v>223763</v>
      </c>
      <c r="I400" s="19">
        <f>'FPC wSEB'!I400-SEB!I400</f>
        <v>2080</v>
      </c>
      <c r="J400" s="19">
        <f>'FPC wSEB'!J400-SEB!J400</f>
        <v>295989</v>
      </c>
      <c r="K400" s="19">
        <f>'FPC wSEB'!K400</f>
        <v>259861</v>
      </c>
      <c r="L400" s="19">
        <f>'FPC wSEB'!L400</f>
        <v>264377</v>
      </c>
      <c r="U400" s="2">
        <f t="shared" si="56"/>
        <v>2007</v>
      </c>
      <c r="V400" s="2">
        <f t="shared" si="57"/>
        <v>11</v>
      </c>
      <c r="W400" s="19">
        <f t="shared" si="59"/>
        <v>1696303</v>
      </c>
      <c r="X400" s="19">
        <f>'FPC wSEB'!X400-SEB!Q400</f>
        <v>1502562</v>
      </c>
      <c r="Y400" s="19">
        <f>'FPC wSEB'!Y400-SEB!R400</f>
        <v>166455</v>
      </c>
      <c r="Z400" s="19">
        <f>'FPC wSEB'!Z400-SEB!S400</f>
        <v>2697</v>
      </c>
      <c r="AA400" s="19">
        <f>'FPC wSEB'!AA400-SEB!T400</f>
        <v>1651</v>
      </c>
      <c r="AB400" s="19">
        <f>'FPC wSEB'!AB400-SEB!U400</f>
        <v>22916</v>
      </c>
      <c r="AC400" s="19">
        <f>'FPC wSEB'!AC400</f>
        <v>5</v>
      </c>
      <c r="AD400" s="19">
        <f>'FPC wSEB'!AD400</f>
        <v>17</v>
      </c>
    </row>
    <row r="401" spans="1:30">
      <c r="A401" s="2">
        <f t="shared" si="54"/>
        <v>2007</v>
      </c>
      <c r="B401" s="2">
        <f t="shared" si="55"/>
        <v>12</v>
      </c>
      <c r="C401" s="19">
        <f t="shared" si="58"/>
        <v>3288933</v>
      </c>
      <c r="D401" s="19">
        <f>'FPC wSEB'!D401-SEB!D401</f>
        <v>1298863</v>
      </c>
      <c r="E401" s="19">
        <f>'FPC wSEB'!E401-SEB!E401</f>
        <v>935249</v>
      </c>
      <c r="F401" s="19">
        <f>'FPC wSEB'!F401-SEB!F401</f>
        <v>348165</v>
      </c>
      <c r="G401" s="19">
        <f>'FPC wSEB'!G401-SEB!G401</f>
        <v>123246</v>
      </c>
      <c r="H401" s="20">
        <f>'FPC wSEB'!H401-SEB!H401</f>
        <v>224919</v>
      </c>
      <c r="I401" s="19">
        <f>'FPC wSEB'!I401-SEB!I401</f>
        <v>2191</v>
      </c>
      <c r="J401" s="19">
        <f>'FPC wSEB'!J401-SEB!J401</f>
        <v>263247</v>
      </c>
      <c r="K401" s="19">
        <f>'FPC wSEB'!K401</f>
        <v>208930</v>
      </c>
      <c r="L401" s="19">
        <f>'FPC wSEB'!L401</f>
        <v>232288</v>
      </c>
      <c r="U401" s="2">
        <f t="shared" si="56"/>
        <v>2007</v>
      </c>
      <c r="V401" s="2">
        <f t="shared" si="57"/>
        <v>12</v>
      </c>
      <c r="W401" s="19">
        <f t="shared" si="59"/>
        <v>1624143</v>
      </c>
      <c r="X401" s="19">
        <f>'FPC wSEB'!X401-SEB!Q401</f>
        <v>1436898</v>
      </c>
      <c r="Y401" s="19">
        <f>'FPC wSEB'!Y401-SEB!R401</f>
        <v>160559</v>
      </c>
      <c r="Z401" s="19">
        <f>'FPC wSEB'!Z401-SEB!S401</f>
        <v>2630</v>
      </c>
      <c r="AA401" s="19">
        <f>'FPC wSEB'!AA401-SEB!T401</f>
        <v>1645</v>
      </c>
      <c r="AB401" s="19">
        <f>'FPC wSEB'!AB401-SEB!U401</f>
        <v>22389</v>
      </c>
      <c r="AC401" s="19">
        <f>'FPC wSEB'!AC401</f>
        <v>5</v>
      </c>
      <c r="AD401" s="19">
        <f>'FPC wSEB'!AD401</f>
        <v>17</v>
      </c>
    </row>
    <row r="402" spans="1:30">
      <c r="A402" s="2">
        <f t="shared" si="54"/>
        <v>2008</v>
      </c>
      <c r="B402" s="2">
        <f t="shared" si="55"/>
        <v>1</v>
      </c>
      <c r="C402" s="19">
        <f t="shared" ref="C402:C407" si="60">SUM(D402:F402,I402:L402)</f>
        <v>3302485</v>
      </c>
      <c r="D402" s="19">
        <f>'FPC wSEB'!D402-SEB!D402</f>
        <v>1446246</v>
      </c>
      <c r="E402" s="19">
        <f>'FPC wSEB'!E402-SEB!E402</f>
        <v>906518</v>
      </c>
      <c r="F402" s="19">
        <f>'FPC wSEB'!F402-SEB!F402</f>
        <v>284479</v>
      </c>
      <c r="G402" s="19">
        <f>'FPC wSEB'!G402-SEB!G402</f>
        <v>96722</v>
      </c>
      <c r="H402" s="20">
        <f>'FPC wSEB'!H402-SEB!H402</f>
        <v>187757</v>
      </c>
      <c r="I402" s="19">
        <f>'FPC wSEB'!I402-SEB!I402</f>
        <v>2156</v>
      </c>
      <c r="J402" s="19">
        <f>'FPC wSEB'!J402-SEB!J402</f>
        <v>248374</v>
      </c>
      <c r="K402" s="19">
        <f>'FPC wSEB'!K402</f>
        <v>154943</v>
      </c>
      <c r="L402" s="19">
        <f>'FPC wSEB'!L402</f>
        <v>259769</v>
      </c>
      <c r="U402" s="2">
        <f t="shared" si="56"/>
        <v>2008</v>
      </c>
      <c r="V402" s="2">
        <f t="shared" si="57"/>
        <v>1</v>
      </c>
      <c r="W402" s="19">
        <f t="shared" si="59"/>
        <v>1616850</v>
      </c>
      <c r="X402" s="19">
        <f>'FPC wSEB'!X402-SEB!Q402</f>
        <v>1429967</v>
      </c>
      <c r="Y402" s="19">
        <f>'FPC wSEB'!Y402-SEB!R402</f>
        <v>160184</v>
      </c>
      <c r="Z402" s="19">
        <f>'FPC wSEB'!Z402-SEB!S402</f>
        <v>2623</v>
      </c>
      <c r="AA402" s="19">
        <f>'FPC wSEB'!AA402-SEB!T402</f>
        <v>1648</v>
      </c>
      <c r="AB402" s="19">
        <f>'FPC wSEB'!AB402-SEB!U402</f>
        <v>22405</v>
      </c>
      <c r="AC402" s="19">
        <f>'FPC wSEB'!AC402</f>
        <v>6</v>
      </c>
      <c r="AD402" s="19">
        <f>'FPC wSEB'!AD402</f>
        <v>17</v>
      </c>
    </row>
    <row r="403" spans="1:30">
      <c r="A403" s="2">
        <f t="shared" si="54"/>
        <v>2008</v>
      </c>
      <c r="B403" s="2">
        <f t="shared" si="55"/>
        <v>2</v>
      </c>
      <c r="C403" s="19">
        <f t="shared" si="60"/>
        <v>3128840</v>
      </c>
      <c r="D403" s="19">
        <f>'FPC wSEB'!D403-SEB!D403</f>
        <v>1292827</v>
      </c>
      <c r="E403" s="19">
        <f>'FPC wSEB'!E403-SEB!E403</f>
        <v>866417</v>
      </c>
      <c r="F403" s="19">
        <f>'FPC wSEB'!F403-SEB!F403</f>
        <v>271585</v>
      </c>
      <c r="G403" s="19">
        <f>'FPC wSEB'!G403-SEB!G403</f>
        <v>66900</v>
      </c>
      <c r="H403" s="20">
        <f>'FPC wSEB'!H403-SEB!H403</f>
        <v>204685</v>
      </c>
      <c r="I403" s="19">
        <f>'FPC wSEB'!I403-SEB!I403</f>
        <v>2154</v>
      </c>
      <c r="J403" s="19">
        <f>'FPC wSEB'!J403-SEB!J403</f>
        <v>246964</v>
      </c>
      <c r="K403" s="19">
        <f>'FPC wSEB'!K403</f>
        <v>198328</v>
      </c>
      <c r="L403" s="19">
        <f>'FPC wSEB'!L403</f>
        <v>250565</v>
      </c>
      <c r="U403" s="2">
        <f t="shared" si="56"/>
        <v>2008</v>
      </c>
      <c r="V403" s="2">
        <f t="shared" si="57"/>
        <v>2</v>
      </c>
      <c r="W403" s="19">
        <f t="shared" si="59"/>
        <v>1642467</v>
      </c>
      <c r="X403" s="19">
        <f>'FPC wSEB'!X403-SEB!Q403</f>
        <v>1453578</v>
      </c>
      <c r="Y403" s="19">
        <f>'FPC wSEB'!Y403-SEB!R403</f>
        <v>161844</v>
      </c>
      <c r="Z403" s="19">
        <f>'FPC wSEB'!Z403-SEB!S403</f>
        <v>2617</v>
      </c>
      <c r="AA403" s="19">
        <f>'FPC wSEB'!AA403-SEB!T403</f>
        <v>1653</v>
      </c>
      <c r="AB403" s="19">
        <f>'FPC wSEB'!AB403-SEB!U403</f>
        <v>22752</v>
      </c>
      <c r="AC403" s="19">
        <f>'FPC wSEB'!AC403</f>
        <v>6</v>
      </c>
      <c r="AD403" s="19">
        <f>'FPC wSEB'!AD403</f>
        <v>17</v>
      </c>
    </row>
    <row r="404" spans="1:30">
      <c r="A404" s="2">
        <f t="shared" si="54"/>
        <v>2008</v>
      </c>
      <c r="B404" s="2">
        <f t="shared" si="55"/>
        <v>3</v>
      </c>
      <c r="C404" s="19">
        <f t="shared" si="60"/>
        <v>3101800</v>
      </c>
      <c r="D404" s="19">
        <f>'FPC wSEB'!D404-SEB!D404</f>
        <v>1238344</v>
      </c>
      <c r="E404" s="19">
        <f>'FPC wSEB'!E404-SEB!E404</f>
        <v>864144</v>
      </c>
      <c r="F404" s="19">
        <f>'FPC wSEB'!F404-SEB!F404</f>
        <v>308093</v>
      </c>
      <c r="G404" s="19">
        <f>'FPC wSEB'!G404-SEB!G404</f>
        <v>99450</v>
      </c>
      <c r="H404" s="20">
        <f>'FPC wSEB'!H404-SEB!H404</f>
        <v>208643</v>
      </c>
      <c r="I404" s="19">
        <f>'FPC wSEB'!I404-SEB!I404</f>
        <v>2272</v>
      </c>
      <c r="J404" s="19">
        <f>'FPC wSEB'!J404-SEB!J404</f>
        <v>259006</v>
      </c>
      <c r="K404" s="19">
        <f>'FPC wSEB'!K404</f>
        <v>181835</v>
      </c>
      <c r="L404" s="19">
        <f>'FPC wSEB'!L404</f>
        <v>248106</v>
      </c>
      <c r="U404" s="2">
        <f t="shared" si="56"/>
        <v>2008</v>
      </c>
      <c r="V404" s="2">
        <f t="shared" si="57"/>
        <v>3</v>
      </c>
      <c r="W404" s="19">
        <f t="shared" si="59"/>
        <v>1578529</v>
      </c>
      <c r="X404" s="19">
        <f>'FPC wSEB'!X404-SEB!Q404</f>
        <v>1393702</v>
      </c>
      <c r="Y404" s="19">
        <f>'FPC wSEB'!Y404-SEB!R404</f>
        <v>157935</v>
      </c>
      <c r="Z404" s="19">
        <f>'FPC wSEB'!Z404-SEB!S404</f>
        <v>2595</v>
      </c>
      <c r="AA404" s="19">
        <f>'FPC wSEB'!AA404-SEB!T404</f>
        <v>1651</v>
      </c>
      <c r="AB404" s="19">
        <f>'FPC wSEB'!AB404-SEB!U404</f>
        <v>22623</v>
      </c>
      <c r="AC404" s="19">
        <f>'FPC wSEB'!AC404</f>
        <v>6</v>
      </c>
      <c r="AD404" s="19">
        <f>'FPC wSEB'!AD404</f>
        <v>17</v>
      </c>
    </row>
    <row r="405" spans="1:30">
      <c r="A405" s="2">
        <f t="shared" si="54"/>
        <v>2008</v>
      </c>
      <c r="B405" s="2">
        <f t="shared" si="55"/>
        <v>4</v>
      </c>
      <c r="C405" s="19">
        <f t="shared" si="60"/>
        <v>3385188</v>
      </c>
      <c r="D405" s="19">
        <f>'FPC wSEB'!D405-SEB!D405</f>
        <v>1345525</v>
      </c>
      <c r="E405" s="19">
        <f>'FPC wSEB'!E405-SEB!E405</f>
        <v>923338</v>
      </c>
      <c r="F405" s="19">
        <f>'FPC wSEB'!F405-SEB!F405</f>
        <v>311109</v>
      </c>
      <c r="G405" s="19">
        <f>'FPC wSEB'!G405-SEB!G405</f>
        <v>100141</v>
      </c>
      <c r="H405" s="20">
        <f>'FPC wSEB'!H405-SEB!H405</f>
        <v>210968</v>
      </c>
      <c r="I405" s="19">
        <f>'FPC wSEB'!I405-SEB!I405</f>
        <v>2181</v>
      </c>
      <c r="J405" s="19">
        <f>'FPC wSEB'!J405-SEB!J405</f>
        <v>251027</v>
      </c>
      <c r="K405" s="19">
        <f>'FPC wSEB'!K405</f>
        <v>227037</v>
      </c>
      <c r="L405" s="19">
        <f>'FPC wSEB'!L405</f>
        <v>324971</v>
      </c>
      <c r="U405" s="2">
        <f t="shared" si="56"/>
        <v>2008</v>
      </c>
      <c r="V405" s="2">
        <f t="shared" si="57"/>
        <v>4</v>
      </c>
      <c r="W405" s="19">
        <f>SUM(X405:AD405)</f>
        <v>1654328</v>
      </c>
      <c r="X405" s="19">
        <f>'FPC wSEB'!X405-SEB!Q405</f>
        <v>1465568</v>
      </c>
      <c r="Y405" s="19">
        <f>'FPC wSEB'!Y405-SEB!R405</f>
        <v>161796</v>
      </c>
      <c r="Z405" s="19">
        <f>'FPC wSEB'!Z405-SEB!S405</f>
        <v>2584</v>
      </c>
      <c r="AA405" s="19">
        <f>'FPC wSEB'!AA405-SEB!T405</f>
        <v>1651</v>
      </c>
      <c r="AB405" s="19">
        <f>'FPC wSEB'!AB405-SEB!U405</f>
        <v>22705</v>
      </c>
      <c r="AC405" s="19">
        <f>'FPC wSEB'!AC405</f>
        <v>6</v>
      </c>
      <c r="AD405" s="19">
        <f>'FPC wSEB'!AD405</f>
        <v>18</v>
      </c>
    </row>
    <row r="406" spans="1:30">
      <c r="A406" s="2">
        <f t="shared" si="54"/>
        <v>2008</v>
      </c>
      <c r="B406" s="2">
        <f t="shared" si="55"/>
        <v>5</v>
      </c>
      <c r="C406" s="19">
        <f t="shared" si="60"/>
        <v>3757426</v>
      </c>
      <c r="D406" s="19">
        <f>'FPC wSEB'!D406-SEB!D406</f>
        <v>1443663</v>
      </c>
      <c r="E406" s="19">
        <f>'FPC wSEB'!E406-SEB!E406</f>
        <v>964884</v>
      </c>
      <c r="F406" s="19">
        <f>'FPC wSEB'!F406-SEB!F406</f>
        <v>360582</v>
      </c>
      <c r="G406" s="19">
        <f>'FPC wSEB'!G406-SEB!G406</f>
        <v>135813</v>
      </c>
      <c r="H406" s="20">
        <f>'FPC wSEB'!H406-SEB!H406</f>
        <v>224769</v>
      </c>
      <c r="I406" s="19">
        <f>'FPC wSEB'!I406-SEB!I406</f>
        <v>2121</v>
      </c>
      <c r="J406" s="19">
        <f>'FPC wSEB'!J406-SEB!J406</f>
        <v>269631</v>
      </c>
      <c r="K406" s="19">
        <f>'FPC wSEB'!K406</f>
        <v>419262</v>
      </c>
      <c r="L406" s="19">
        <f>'FPC wSEB'!L406</f>
        <v>297283</v>
      </c>
      <c r="U406" s="2">
        <f t="shared" si="56"/>
        <v>2008</v>
      </c>
      <c r="V406" s="2">
        <f t="shared" si="57"/>
        <v>5</v>
      </c>
      <c r="W406" s="19">
        <f>SUM(X406:AD406)</f>
        <v>1622378</v>
      </c>
      <c r="X406" s="19">
        <f>'FPC wSEB'!X406-SEB!Q406</f>
        <v>1434075</v>
      </c>
      <c r="Y406" s="19">
        <f>'FPC wSEB'!Y406-SEB!R406</f>
        <v>161128</v>
      </c>
      <c r="Z406" s="19">
        <f>'FPC wSEB'!Z406-SEB!S406</f>
        <v>2670</v>
      </c>
      <c r="AA406" s="19">
        <f>'FPC wSEB'!AA406-SEB!T406</f>
        <v>1638</v>
      </c>
      <c r="AB406" s="19">
        <f>'FPC wSEB'!AB406-SEB!U406</f>
        <v>22843</v>
      </c>
      <c r="AC406" s="19">
        <f>'FPC wSEB'!AC406</f>
        <v>6</v>
      </c>
      <c r="AD406" s="19">
        <f>'FPC wSEB'!AD406</f>
        <v>18</v>
      </c>
    </row>
    <row r="407" spans="1:30">
      <c r="A407" s="2">
        <f t="shared" si="54"/>
        <v>2008</v>
      </c>
      <c r="B407" s="2">
        <f t="shared" si="55"/>
        <v>6</v>
      </c>
      <c r="C407" s="19">
        <f t="shared" si="60"/>
        <v>4344150</v>
      </c>
      <c r="D407" s="19">
        <f>'FPC wSEB'!D407-SEB!D407</f>
        <v>1936362</v>
      </c>
      <c r="E407" s="19">
        <f>'FPC wSEB'!E407-SEB!E407</f>
        <v>1154693</v>
      </c>
      <c r="F407" s="19">
        <f>'FPC wSEB'!F407-SEB!F407</f>
        <v>336133</v>
      </c>
      <c r="G407" s="19">
        <f>'FPC wSEB'!G407-SEB!G407</f>
        <v>107751</v>
      </c>
      <c r="H407" s="20">
        <f>'FPC wSEB'!H407-SEB!H407</f>
        <v>228382</v>
      </c>
      <c r="I407" s="19">
        <f>'FPC wSEB'!I407-SEB!I407</f>
        <v>2204</v>
      </c>
      <c r="J407" s="19">
        <f>'FPC wSEB'!J407-SEB!J407</f>
        <v>266502</v>
      </c>
      <c r="K407" s="19">
        <f>'FPC wSEB'!K407</f>
        <v>310140</v>
      </c>
      <c r="L407" s="19">
        <f>'FPC wSEB'!L407</f>
        <v>338116</v>
      </c>
      <c r="U407" s="2">
        <f t="shared" si="56"/>
        <v>2008</v>
      </c>
      <c r="V407" s="2">
        <f t="shared" si="57"/>
        <v>6</v>
      </c>
      <c r="W407" s="19">
        <f>SUM(X407:AD407)</f>
        <v>1659341</v>
      </c>
      <c r="X407" s="19">
        <f>'FPC wSEB'!X407-SEB!Q407</f>
        <v>1469148</v>
      </c>
      <c r="Y407" s="19">
        <f>'FPC wSEB'!Y407-SEB!R407</f>
        <v>163083</v>
      </c>
      <c r="Z407" s="19">
        <f>'FPC wSEB'!Z407-SEB!S407</f>
        <v>2563</v>
      </c>
      <c r="AA407" s="19">
        <f>'FPC wSEB'!AA407-SEB!T407</f>
        <v>1637</v>
      </c>
      <c r="AB407" s="19">
        <f>'FPC wSEB'!AB407-SEB!U407</f>
        <v>22885</v>
      </c>
      <c r="AC407" s="19">
        <f>'FPC wSEB'!AC407</f>
        <v>6</v>
      </c>
      <c r="AD407" s="19">
        <f>'FPC wSEB'!AD407</f>
        <v>19</v>
      </c>
    </row>
    <row r="408" spans="1:30">
      <c r="A408" s="2">
        <f t="shared" si="54"/>
        <v>2008</v>
      </c>
      <c r="B408" s="2">
        <f t="shared" si="55"/>
        <v>7</v>
      </c>
      <c r="C408" s="19">
        <f t="shared" ref="C408:C413" si="61">SUM(D408:F408,I408:L408)</f>
        <v>4141593</v>
      </c>
      <c r="D408" s="19">
        <f>'FPC wSEB'!D408-SEB!D408</f>
        <v>1819508</v>
      </c>
      <c r="E408" s="19">
        <f>'FPC wSEB'!E408-SEB!E408</f>
        <v>1095536</v>
      </c>
      <c r="F408" s="19">
        <f>'FPC wSEB'!F408-SEB!F408</f>
        <v>328969</v>
      </c>
      <c r="G408" s="19">
        <f>'FPC wSEB'!G408-SEB!G408</f>
        <v>101792</v>
      </c>
      <c r="H408" s="20">
        <f>'FPC wSEB'!H408-SEB!H408</f>
        <v>227177</v>
      </c>
      <c r="I408" s="19">
        <f>'FPC wSEB'!I408-SEB!I408</f>
        <v>2159</v>
      </c>
      <c r="J408" s="19">
        <f>'FPC wSEB'!J408-SEB!J408</f>
        <v>271362</v>
      </c>
      <c r="K408" s="19">
        <f>'FPC wSEB'!K408</f>
        <v>298968</v>
      </c>
      <c r="L408" s="19">
        <f>'FPC wSEB'!L408</f>
        <v>325091</v>
      </c>
      <c r="U408" s="2">
        <f t="shared" si="56"/>
        <v>2008</v>
      </c>
      <c r="V408" s="2">
        <f t="shared" si="57"/>
        <v>7</v>
      </c>
      <c r="W408" s="19">
        <f t="shared" ref="W408:W413" si="62">SUM(X408:AD408)</f>
        <v>1521211</v>
      </c>
      <c r="X408" s="19">
        <f>'FPC wSEB'!X408-SEB!Q408</f>
        <v>1341852</v>
      </c>
      <c r="Y408" s="19">
        <f>'FPC wSEB'!Y408-SEB!R408</f>
        <v>153282</v>
      </c>
      <c r="Z408" s="19">
        <f>'FPC wSEB'!Z408-SEB!S408</f>
        <v>2504</v>
      </c>
      <c r="AA408" s="19">
        <f>'FPC wSEB'!AA408-SEB!T408</f>
        <v>1626</v>
      </c>
      <c r="AB408" s="19">
        <f>'FPC wSEB'!AB408-SEB!U408</f>
        <v>21922</v>
      </c>
      <c r="AC408" s="19">
        <f>'FPC wSEB'!AC408</f>
        <v>6</v>
      </c>
      <c r="AD408" s="19">
        <f>'FPC wSEB'!AD408</f>
        <v>19</v>
      </c>
    </row>
    <row r="409" spans="1:30">
      <c r="A409" s="2">
        <f t="shared" si="54"/>
        <v>2008</v>
      </c>
      <c r="B409" s="2">
        <f t="shared" si="55"/>
        <v>8</v>
      </c>
      <c r="C409" s="19">
        <f t="shared" si="61"/>
        <v>4463631</v>
      </c>
      <c r="D409" s="19">
        <f>'FPC wSEB'!D409-SEB!D409</f>
        <v>2016620</v>
      </c>
      <c r="E409" s="19">
        <f>'FPC wSEB'!E409-SEB!E409</f>
        <v>1157947</v>
      </c>
      <c r="F409" s="19">
        <f>'FPC wSEB'!F409-SEB!F409</f>
        <v>334313</v>
      </c>
      <c r="G409" s="19">
        <f>'FPC wSEB'!G409-SEB!G409</f>
        <v>103172</v>
      </c>
      <c r="H409" s="20">
        <f>'FPC wSEB'!H409-SEB!H409</f>
        <v>231141</v>
      </c>
      <c r="I409" s="19">
        <f>'FPC wSEB'!I409-SEB!I409</f>
        <v>2167</v>
      </c>
      <c r="J409" s="19">
        <f>'FPC wSEB'!J409-SEB!J409</f>
        <v>285850</v>
      </c>
      <c r="K409" s="19">
        <f>'FPC wSEB'!K409</f>
        <v>330146</v>
      </c>
      <c r="L409" s="19">
        <f>'FPC wSEB'!L409</f>
        <v>336588</v>
      </c>
      <c r="U409" s="2">
        <f t="shared" si="56"/>
        <v>2008</v>
      </c>
      <c r="V409" s="2">
        <f t="shared" si="57"/>
        <v>8</v>
      </c>
      <c r="W409" s="19">
        <f t="shared" si="62"/>
        <v>1632395</v>
      </c>
      <c r="X409" s="19">
        <f>'FPC wSEB'!X409-SEB!Q409</f>
        <v>1444131</v>
      </c>
      <c r="Y409" s="19">
        <f>'FPC wSEB'!Y409-SEB!R409</f>
        <v>161224</v>
      </c>
      <c r="Z409" s="19">
        <f>'FPC wSEB'!Z409-SEB!S409</f>
        <v>2583</v>
      </c>
      <c r="AA409" s="19">
        <f>'FPC wSEB'!AA409-SEB!T409</f>
        <v>1627</v>
      </c>
      <c r="AB409" s="19">
        <f>'FPC wSEB'!AB409-SEB!U409</f>
        <v>22805</v>
      </c>
      <c r="AC409" s="19">
        <f>'FPC wSEB'!AC409</f>
        <v>6</v>
      </c>
      <c r="AD409" s="19">
        <f>'FPC wSEB'!AD409</f>
        <v>19</v>
      </c>
    </row>
    <row r="410" spans="1:30">
      <c r="A410" s="2">
        <f t="shared" si="54"/>
        <v>2008</v>
      </c>
      <c r="B410" s="2">
        <f t="shared" si="55"/>
        <v>9</v>
      </c>
      <c r="C410" s="19">
        <f t="shared" si="61"/>
        <v>4735576</v>
      </c>
      <c r="D410" s="19">
        <f>'FPC wSEB'!D410-SEB!D410</f>
        <v>2223103</v>
      </c>
      <c r="E410" s="19">
        <f>'FPC wSEB'!E410-SEB!E410</f>
        <v>1239544</v>
      </c>
      <c r="F410" s="19">
        <f>'FPC wSEB'!F410-SEB!F410</f>
        <v>316532</v>
      </c>
      <c r="G410" s="19">
        <f>'FPC wSEB'!G410-SEB!G410</f>
        <v>86620</v>
      </c>
      <c r="H410" s="20">
        <f>'FPC wSEB'!H410-SEB!H410</f>
        <v>229912</v>
      </c>
      <c r="I410" s="19">
        <f>'FPC wSEB'!I410-SEB!I410</f>
        <v>2156</v>
      </c>
      <c r="J410" s="19">
        <f>'FPC wSEB'!J410-SEB!J410</f>
        <v>330041</v>
      </c>
      <c r="K410" s="19">
        <f>'FPC wSEB'!K410</f>
        <v>279985</v>
      </c>
      <c r="L410" s="19">
        <f>'FPC wSEB'!L410</f>
        <v>344215</v>
      </c>
      <c r="U410" s="2">
        <f t="shared" si="56"/>
        <v>2008</v>
      </c>
      <c r="V410" s="2">
        <f t="shared" si="57"/>
        <v>9</v>
      </c>
      <c r="W410" s="19">
        <f t="shared" si="62"/>
        <v>1708027</v>
      </c>
      <c r="X410" s="19">
        <f>'FPC wSEB'!X410-SEB!Q410</f>
        <v>1511874</v>
      </c>
      <c r="Y410" s="19">
        <f>'FPC wSEB'!Y410-SEB!R410</f>
        <v>168338</v>
      </c>
      <c r="Z410" s="19">
        <f>'FPC wSEB'!Z410-SEB!S410</f>
        <v>2623</v>
      </c>
      <c r="AA410" s="19">
        <f>'FPC wSEB'!AA410-SEB!T410</f>
        <v>1636</v>
      </c>
      <c r="AB410" s="19">
        <f>'FPC wSEB'!AB410-SEB!U410</f>
        <v>23531</v>
      </c>
      <c r="AC410" s="19">
        <f>'FPC wSEB'!AC410</f>
        <v>6</v>
      </c>
      <c r="AD410" s="19">
        <f>'FPC wSEB'!AD410</f>
        <v>19</v>
      </c>
    </row>
    <row r="411" spans="1:30">
      <c r="A411" s="2">
        <f t="shared" si="54"/>
        <v>2008</v>
      </c>
      <c r="B411" s="2">
        <f t="shared" si="55"/>
        <v>10</v>
      </c>
      <c r="C411" s="19">
        <f t="shared" si="61"/>
        <v>3926502</v>
      </c>
      <c r="D411" s="19">
        <f>'FPC wSEB'!D411-SEB!D411</f>
        <v>1631307</v>
      </c>
      <c r="E411" s="19">
        <f>'FPC wSEB'!E411-SEB!E411</f>
        <v>1019700</v>
      </c>
      <c r="F411" s="19">
        <f>'FPC wSEB'!F411-SEB!F411</f>
        <v>335543</v>
      </c>
      <c r="G411" s="19">
        <f>'FPC wSEB'!G411-SEB!G411</f>
        <v>128534</v>
      </c>
      <c r="H411" s="20">
        <f>'FPC wSEB'!H411-SEB!H411</f>
        <v>207009</v>
      </c>
      <c r="I411" s="19">
        <f>'FPC wSEB'!I411-SEB!I411</f>
        <v>2161</v>
      </c>
      <c r="J411" s="19">
        <f>'FPC wSEB'!J411-SEB!J411</f>
        <v>290507</v>
      </c>
      <c r="K411" s="19">
        <f>'FPC wSEB'!K411</f>
        <v>274259</v>
      </c>
      <c r="L411" s="19">
        <f>'FPC wSEB'!L411</f>
        <v>373025</v>
      </c>
      <c r="U411" s="2">
        <f t="shared" si="56"/>
        <v>2008</v>
      </c>
      <c r="V411" s="2">
        <f t="shared" si="57"/>
        <v>10</v>
      </c>
      <c r="W411" s="19">
        <f t="shared" si="62"/>
        <v>1552133</v>
      </c>
      <c r="X411" s="19">
        <f>'FPC wSEB'!X411-SEB!Q411</f>
        <v>1370072</v>
      </c>
      <c r="Y411" s="19">
        <f>'FPC wSEB'!Y411-SEB!R411</f>
        <v>155624</v>
      </c>
      <c r="Z411" s="19">
        <f>'FPC wSEB'!Z411-SEB!S411</f>
        <v>2502</v>
      </c>
      <c r="AA411" s="19">
        <f>'FPC wSEB'!AA411-SEB!T411</f>
        <v>1620</v>
      </c>
      <c r="AB411" s="19">
        <f>'FPC wSEB'!AB411-SEB!U411</f>
        <v>22290</v>
      </c>
      <c r="AC411" s="19">
        <f>'FPC wSEB'!AC411</f>
        <v>6</v>
      </c>
      <c r="AD411" s="19">
        <f>'FPC wSEB'!AD411</f>
        <v>19</v>
      </c>
    </row>
    <row r="412" spans="1:30">
      <c r="A412" s="2">
        <f t="shared" si="54"/>
        <v>2008</v>
      </c>
      <c r="B412" s="2">
        <f t="shared" si="55"/>
        <v>11</v>
      </c>
      <c r="C412" s="19">
        <f t="shared" si="61"/>
        <v>3476543</v>
      </c>
      <c r="D412" s="19">
        <f>'FPC wSEB'!D412-SEB!D412</f>
        <v>1390998</v>
      </c>
      <c r="E412" s="19">
        <f>'FPC wSEB'!E412-SEB!E412</f>
        <v>973579</v>
      </c>
      <c r="F412" s="19">
        <f>'FPC wSEB'!F412-SEB!F412</f>
        <v>381195</v>
      </c>
      <c r="G412" s="19">
        <f>'FPC wSEB'!G412-SEB!G412</f>
        <v>145191</v>
      </c>
      <c r="H412" s="20">
        <f>'FPC wSEB'!H412-SEB!H412</f>
        <v>236004</v>
      </c>
      <c r="I412" s="19">
        <f>'FPC wSEB'!I412-SEB!I412</f>
        <v>2196</v>
      </c>
      <c r="J412" s="19">
        <f>'FPC wSEB'!J412-SEB!J412</f>
        <v>299847</v>
      </c>
      <c r="K412" s="19">
        <f>'FPC wSEB'!K412</f>
        <v>124298</v>
      </c>
      <c r="L412" s="19">
        <f>'FPC wSEB'!L412</f>
        <v>304430</v>
      </c>
      <c r="U412" s="2">
        <f t="shared" si="56"/>
        <v>2008</v>
      </c>
      <c r="V412" s="2">
        <f t="shared" si="57"/>
        <v>11</v>
      </c>
      <c r="W412" s="19">
        <f t="shared" si="62"/>
        <v>1685311</v>
      </c>
      <c r="X412" s="19">
        <f>'FPC wSEB'!X412-SEB!Q412</f>
        <v>1490870</v>
      </c>
      <c r="Y412" s="19">
        <f>'FPC wSEB'!Y412-SEB!R412</f>
        <v>166585</v>
      </c>
      <c r="Z412" s="19">
        <f>'FPC wSEB'!Z412-SEB!S412</f>
        <v>2634</v>
      </c>
      <c r="AA412" s="19">
        <f>'FPC wSEB'!AA412-SEB!T412</f>
        <v>1633</v>
      </c>
      <c r="AB412" s="19">
        <f>'FPC wSEB'!AB412-SEB!U412</f>
        <v>23565</v>
      </c>
      <c r="AC412" s="19">
        <f>'FPC wSEB'!AC412</f>
        <v>5</v>
      </c>
      <c r="AD412" s="19">
        <f>'FPC wSEB'!AD412</f>
        <v>19</v>
      </c>
    </row>
    <row r="413" spans="1:30">
      <c r="A413" s="2">
        <f t="shared" si="54"/>
        <v>2008</v>
      </c>
      <c r="B413" s="2">
        <f t="shared" si="55"/>
        <v>12</v>
      </c>
      <c r="C413" s="19">
        <f t="shared" si="61"/>
        <v>3159279</v>
      </c>
      <c r="D413" s="19">
        <f>'FPC wSEB'!D413-SEB!D413</f>
        <v>1424697</v>
      </c>
      <c r="E413" s="19">
        <f>'FPC wSEB'!E413-SEB!E413</f>
        <v>869809</v>
      </c>
      <c r="F413" s="19">
        <f>'FPC wSEB'!F413-SEB!F413</f>
        <v>213604</v>
      </c>
      <c r="G413" s="19">
        <f>'FPC wSEB'!G413-SEB!G413</f>
        <v>61417</v>
      </c>
      <c r="H413" s="20">
        <f>'FPC wSEB'!H413-SEB!H413</f>
        <v>152187</v>
      </c>
      <c r="I413" s="19">
        <f>'FPC wSEB'!I413-SEB!I413</f>
        <v>2168</v>
      </c>
      <c r="J413" s="19">
        <f>'FPC wSEB'!J413-SEB!J413</f>
        <v>230889</v>
      </c>
      <c r="K413" s="19">
        <f>'FPC wSEB'!K413</f>
        <v>146384</v>
      </c>
      <c r="L413" s="19">
        <f>'FPC wSEB'!L413</f>
        <v>271728</v>
      </c>
      <c r="U413" s="2">
        <f t="shared" si="56"/>
        <v>2008</v>
      </c>
      <c r="V413" s="2">
        <f t="shared" si="57"/>
        <v>12</v>
      </c>
      <c r="W413" s="19">
        <f t="shared" si="62"/>
        <v>1622601</v>
      </c>
      <c r="X413" s="19">
        <f>'FPC wSEB'!X413-SEB!Q413</f>
        <v>1436801</v>
      </c>
      <c r="Y413" s="19">
        <f>'FPC wSEB'!Y413-SEB!R413</f>
        <v>159012</v>
      </c>
      <c r="Z413" s="19">
        <f>'FPC wSEB'!Z413-SEB!S413</f>
        <v>2463</v>
      </c>
      <c r="AA413" s="19">
        <f>'FPC wSEB'!AA413-SEB!T413</f>
        <v>1621</v>
      </c>
      <c r="AB413" s="19">
        <f>'FPC wSEB'!AB413-SEB!U413</f>
        <v>22680</v>
      </c>
      <c r="AC413" s="19">
        <f>'FPC wSEB'!AC413</f>
        <v>5</v>
      </c>
      <c r="AD413" s="19">
        <f>'FPC wSEB'!AD413</f>
        <v>19</v>
      </c>
    </row>
    <row r="424" spans="1:30">
      <c r="A424" s="6" t="s">
        <v>32</v>
      </c>
      <c r="F424" s="22"/>
      <c r="G424" s="22"/>
      <c r="H424" s="22"/>
      <c r="I424" s="9"/>
      <c r="J424" s="9"/>
      <c r="K424" s="9"/>
      <c r="L424" s="9"/>
      <c r="U424" s="6" t="s">
        <v>32</v>
      </c>
      <c r="Z424" s="22"/>
      <c r="AA424" s="22"/>
      <c r="AB424" s="22"/>
    </row>
    <row r="425" spans="1:30">
      <c r="A425" s="2">
        <v>1975</v>
      </c>
      <c r="U425" s="2">
        <v>1975</v>
      </c>
      <c r="W425" s="20">
        <f t="shared" ref="W425:W454" si="63">SUM(X425:AD425)</f>
        <v>621658.91666666663</v>
      </c>
      <c r="X425" s="19">
        <f>AVERAGE(X6:X17)</f>
        <v>557893.41666666663</v>
      </c>
      <c r="Y425" s="19">
        <f>AVERAGE(Y6:Y17)</f>
        <v>60598.166666666664</v>
      </c>
      <c r="Z425" s="19">
        <f>AVERAGE(Z6:Z17)</f>
        <v>1466.3333333333333</v>
      </c>
      <c r="AA425" s="19">
        <f>AVERAGE(AA6:AA17)</f>
        <v>1553.8333333333333</v>
      </c>
      <c r="AB425" s="19">
        <f>AVERAGE(AB6:AB17)</f>
        <v>147.16666666666666</v>
      </c>
      <c r="AC425" s="19"/>
      <c r="AD425" s="19"/>
    </row>
    <row r="426" spans="1:30">
      <c r="A426" s="2">
        <f t="shared" ref="A426:A431" si="64">A425+1</f>
        <v>1976</v>
      </c>
      <c r="U426" s="2">
        <f t="shared" ref="U426:U431" si="65">U425+1</f>
        <v>1976</v>
      </c>
      <c r="W426" s="20">
        <f t="shared" si="63"/>
        <v>644846.08333333337</v>
      </c>
      <c r="X426" s="19">
        <f t="shared" ref="X426:AD426" si="66">AVERAGE(X18:X29)</f>
        <v>579044.08333333337</v>
      </c>
      <c r="Y426" s="19">
        <f t="shared" si="66"/>
        <v>62276.833333333336</v>
      </c>
      <c r="Z426" s="19">
        <f t="shared" si="66"/>
        <v>1489</v>
      </c>
      <c r="AA426" s="19">
        <f t="shared" si="66"/>
        <v>1647.75</v>
      </c>
      <c r="AB426" s="19">
        <f t="shared" si="66"/>
        <v>260.75</v>
      </c>
      <c r="AC426" s="19">
        <f t="shared" si="66"/>
        <v>108.41666666666667</v>
      </c>
      <c r="AD426" s="19">
        <f t="shared" si="66"/>
        <v>19.25</v>
      </c>
    </row>
    <row r="427" spans="1:30">
      <c r="A427" s="2">
        <f t="shared" si="64"/>
        <v>1977</v>
      </c>
      <c r="U427" s="2">
        <f t="shared" si="65"/>
        <v>1977</v>
      </c>
      <c r="W427" s="20">
        <f t="shared" si="63"/>
        <v>669614.5</v>
      </c>
      <c r="X427" s="19">
        <f t="shared" ref="X427:AD427" si="67">AVERAGE(X30:X41)</f>
        <v>601062.33333333337</v>
      </c>
      <c r="Y427" s="19">
        <f t="shared" si="67"/>
        <v>64782.666666666664</v>
      </c>
      <c r="Z427" s="19">
        <f t="shared" si="67"/>
        <v>1654.9166666666667</v>
      </c>
      <c r="AA427" s="19">
        <f t="shared" si="67"/>
        <v>1691.5</v>
      </c>
      <c r="AB427" s="19">
        <f t="shared" si="67"/>
        <v>282.83333333333331</v>
      </c>
      <c r="AC427" s="19">
        <f t="shared" si="67"/>
        <v>112.66666666666667</v>
      </c>
      <c r="AD427" s="19">
        <f t="shared" si="67"/>
        <v>27.583333333333332</v>
      </c>
    </row>
    <row r="428" spans="1:30">
      <c r="A428" s="2">
        <f t="shared" si="64"/>
        <v>1978</v>
      </c>
      <c r="U428" s="2">
        <f t="shared" si="65"/>
        <v>1978</v>
      </c>
      <c r="W428" s="20">
        <f t="shared" si="63"/>
        <v>699677.41666666674</v>
      </c>
      <c r="X428" s="19">
        <f t="shared" ref="X428:AD428" si="68">AVERAGE(X42:X53)</f>
        <v>627694.41666666663</v>
      </c>
      <c r="Y428" s="19">
        <f t="shared" si="68"/>
        <v>68028.416666666672</v>
      </c>
      <c r="Z428" s="19">
        <f t="shared" si="68"/>
        <v>1795.3333333333333</v>
      </c>
      <c r="AA428" s="19">
        <f t="shared" si="68"/>
        <v>1733.3333333333333</v>
      </c>
      <c r="AB428" s="19">
        <f t="shared" si="68"/>
        <v>287.33333333333331</v>
      </c>
      <c r="AC428" s="19">
        <f t="shared" si="68"/>
        <v>109.58333333333333</v>
      </c>
      <c r="AD428" s="19">
        <f t="shared" si="68"/>
        <v>29</v>
      </c>
    </row>
    <row r="429" spans="1:30">
      <c r="A429" s="2">
        <f t="shared" si="64"/>
        <v>1979</v>
      </c>
      <c r="U429" s="2">
        <f t="shared" si="65"/>
        <v>1979</v>
      </c>
      <c r="W429" s="20">
        <f t="shared" si="63"/>
        <v>735633.41666666663</v>
      </c>
      <c r="X429" s="19">
        <f t="shared" ref="X429:AD429" si="69">AVERAGE(X54:X65)</f>
        <v>660009.5</v>
      </c>
      <c r="Y429" s="19">
        <f t="shared" si="69"/>
        <v>70099.916666666672</v>
      </c>
      <c r="Z429" s="19">
        <f t="shared" si="69"/>
        <v>1995.4166666666667</v>
      </c>
      <c r="AA429" s="19">
        <f t="shared" si="69"/>
        <v>1800.0833333333333</v>
      </c>
      <c r="AB429" s="19">
        <f t="shared" si="69"/>
        <v>1589.4166666666667</v>
      </c>
      <c r="AC429" s="19">
        <f t="shared" si="69"/>
        <v>109.58333333333333</v>
      </c>
      <c r="AD429" s="19">
        <f t="shared" si="69"/>
        <v>29.5</v>
      </c>
    </row>
    <row r="430" spans="1:30">
      <c r="A430" s="2">
        <f t="shared" si="64"/>
        <v>1980</v>
      </c>
      <c r="U430" s="2">
        <f t="shared" si="65"/>
        <v>1980</v>
      </c>
      <c r="W430" s="20">
        <f t="shared" si="63"/>
        <v>772265.33333333337</v>
      </c>
      <c r="X430" s="19">
        <f t="shared" ref="X430:AD430" si="70">AVERAGE(X66:X77)</f>
        <v>693398.25</v>
      </c>
      <c r="Y430" s="19">
        <f t="shared" si="70"/>
        <v>71431.25</v>
      </c>
      <c r="Z430" s="19">
        <f t="shared" si="70"/>
        <v>2156</v>
      </c>
      <c r="AA430" s="19">
        <f t="shared" si="70"/>
        <v>1444</v>
      </c>
      <c r="AB430" s="19">
        <f t="shared" si="70"/>
        <v>3697.75</v>
      </c>
      <c r="AC430" s="19">
        <f t="shared" si="70"/>
        <v>107</v>
      </c>
      <c r="AD430" s="19">
        <f t="shared" si="70"/>
        <v>31.083333333333332</v>
      </c>
    </row>
    <row r="431" spans="1:30">
      <c r="A431" s="2">
        <f t="shared" si="64"/>
        <v>1981</v>
      </c>
      <c r="U431" s="2">
        <f t="shared" si="65"/>
        <v>1981</v>
      </c>
      <c r="W431" s="20">
        <f t="shared" si="63"/>
        <v>802786.58333333326</v>
      </c>
      <c r="X431" s="19">
        <f t="shared" ref="X431:AD431" si="71">AVERAGE(X78:X89)</f>
        <v>720589.66666666663</v>
      </c>
      <c r="Y431" s="19">
        <f t="shared" si="71"/>
        <v>74412.666666666672</v>
      </c>
      <c r="Z431" s="19">
        <f t="shared" si="71"/>
        <v>2241.0833333333335</v>
      </c>
      <c r="AA431" s="19">
        <f t="shared" si="71"/>
        <v>1459.4166666666667</v>
      </c>
      <c r="AB431" s="19">
        <f t="shared" si="71"/>
        <v>3944.9166666666665</v>
      </c>
      <c r="AC431" s="19">
        <f t="shared" si="71"/>
        <v>106.5</v>
      </c>
      <c r="AD431" s="19">
        <f t="shared" si="71"/>
        <v>32.333333333333336</v>
      </c>
    </row>
    <row r="432" spans="1:30">
      <c r="A432" s="2">
        <f t="shared" ref="A432:A450" si="72">(A431+1)</f>
        <v>1982</v>
      </c>
      <c r="U432" s="2">
        <f t="shared" ref="U432:U455" si="73">(U431+1)</f>
        <v>1982</v>
      </c>
      <c r="W432" s="20">
        <f t="shared" si="63"/>
        <v>829826.41666666663</v>
      </c>
      <c r="X432" s="19">
        <f t="shared" ref="X432:AD432" si="74">AVERAGE(X90:X101)</f>
        <v>745155.08333333337</v>
      </c>
      <c r="Y432" s="19">
        <f t="shared" si="74"/>
        <v>76226.416666666672</v>
      </c>
      <c r="Z432" s="19">
        <f t="shared" si="74"/>
        <v>2335.8333333333335</v>
      </c>
      <c r="AA432" s="19">
        <f t="shared" si="74"/>
        <v>1396.9166666666667</v>
      </c>
      <c r="AB432" s="19">
        <f t="shared" si="74"/>
        <v>4572.25</v>
      </c>
      <c r="AC432" s="19">
        <f t="shared" si="74"/>
        <v>108.16666666666667</v>
      </c>
      <c r="AD432" s="19">
        <f t="shared" si="74"/>
        <v>31.75</v>
      </c>
    </row>
    <row r="433" spans="1:30">
      <c r="A433" s="2">
        <f t="shared" si="72"/>
        <v>1983</v>
      </c>
      <c r="U433" s="2">
        <f t="shared" si="73"/>
        <v>1983</v>
      </c>
      <c r="W433" s="20">
        <f t="shared" si="63"/>
        <v>861547.66666666674</v>
      </c>
      <c r="X433" s="19">
        <f t="shared" ref="X433:AD433" si="75">AVERAGE(X102:X113)</f>
        <v>771046.83333333337</v>
      </c>
      <c r="Y433" s="19">
        <f t="shared" si="75"/>
        <v>81249.25</v>
      </c>
      <c r="Z433" s="19">
        <f t="shared" si="75"/>
        <v>2408.5</v>
      </c>
      <c r="AA433" s="19">
        <f t="shared" si="75"/>
        <v>1393</v>
      </c>
      <c r="AB433" s="19">
        <f t="shared" si="75"/>
        <v>5319.333333333333</v>
      </c>
      <c r="AC433" s="19">
        <f t="shared" si="75"/>
        <v>107.08333333333333</v>
      </c>
      <c r="AD433" s="19">
        <f t="shared" si="75"/>
        <v>23.666666666666668</v>
      </c>
    </row>
    <row r="434" spans="1:30">
      <c r="A434" s="2">
        <f t="shared" si="72"/>
        <v>1984</v>
      </c>
      <c r="U434" s="2">
        <f t="shared" si="73"/>
        <v>1984</v>
      </c>
      <c r="W434" s="20">
        <f t="shared" si="63"/>
        <v>900799.16666666663</v>
      </c>
      <c r="X434" s="19">
        <f t="shared" ref="X434:AD434" si="76">AVERAGE(X114:X125)</f>
        <v>804172.16666666663</v>
      </c>
      <c r="Y434" s="19">
        <f t="shared" si="76"/>
        <v>86743.666666666672</v>
      </c>
      <c r="Z434" s="19">
        <f t="shared" si="76"/>
        <v>2520.9166666666665</v>
      </c>
      <c r="AA434" s="19">
        <f t="shared" si="76"/>
        <v>1502.8333333333333</v>
      </c>
      <c r="AB434" s="19">
        <f t="shared" si="76"/>
        <v>5813.333333333333</v>
      </c>
      <c r="AC434" s="19">
        <f t="shared" si="76"/>
        <v>24.5</v>
      </c>
      <c r="AD434" s="19">
        <f t="shared" si="76"/>
        <v>21.75</v>
      </c>
    </row>
    <row r="435" spans="1:30">
      <c r="A435" s="2">
        <f t="shared" si="72"/>
        <v>1985</v>
      </c>
      <c r="U435" s="2">
        <f t="shared" si="73"/>
        <v>1985</v>
      </c>
      <c r="W435" s="20">
        <f t="shared" si="63"/>
        <v>940975.50000000012</v>
      </c>
      <c r="X435" s="19">
        <f t="shared" ref="X435:AD435" si="77">AVERAGE(X126:X137)</f>
        <v>838671.58333333337</v>
      </c>
      <c r="Y435" s="19">
        <f t="shared" si="77"/>
        <v>91816.583333333328</v>
      </c>
      <c r="Z435" s="19">
        <f t="shared" si="77"/>
        <v>2610.6666666666665</v>
      </c>
      <c r="AA435" s="19">
        <f t="shared" si="77"/>
        <v>1666.25</v>
      </c>
      <c r="AB435" s="19">
        <f t="shared" si="77"/>
        <v>6187.583333333333</v>
      </c>
      <c r="AC435" s="19">
        <f t="shared" si="77"/>
        <v>1.75</v>
      </c>
      <c r="AD435" s="19">
        <f t="shared" si="77"/>
        <v>21.083333333333332</v>
      </c>
    </row>
    <row r="436" spans="1:30">
      <c r="A436" s="2">
        <f t="shared" si="72"/>
        <v>1986</v>
      </c>
      <c r="U436" s="2">
        <f t="shared" si="73"/>
        <v>1986</v>
      </c>
      <c r="W436" s="20">
        <f t="shared" si="63"/>
        <v>980426.5</v>
      </c>
      <c r="X436" s="19">
        <f t="shared" ref="X436:AD436" si="78">AVERAGE(X138:X149)</f>
        <v>872440.66666666663</v>
      </c>
      <c r="Y436" s="19">
        <f t="shared" si="78"/>
        <v>96842.583333333328</v>
      </c>
      <c r="Z436" s="19">
        <f t="shared" si="78"/>
        <v>2705.0833333333335</v>
      </c>
      <c r="AA436" s="19">
        <f t="shared" si="78"/>
        <v>1821.6666666666667</v>
      </c>
      <c r="AB436" s="19">
        <f t="shared" si="78"/>
        <v>6599.083333333333</v>
      </c>
      <c r="AC436" s="19">
        <f t="shared" si="78"/>
        <v>2</v>
      </c>
      <c r="AD436" s="19">
        <f t="shared" si="78"/>
        <v>15.416666666666666</v>
      </c>
    </row>
    <row r="437" spans="1:30">
      <c r="A437" s="2">
        <f t="shared" si="72"/>
        <v>1987</v>
      </c>
      <c r="U437" s="2">
        <f t="shared" si="73"/>
        <v>1987</v>
      </c>
      <c r="W437" s="20">
        <f t="shared" si="63"/>
        <v>1022530.6666666667</v>
      </c>
      <c r="X437" s="19">
        <f t="shared" ref="X437:AD437" si="79">AVERAGE(X150:X161)</f>
        <v>908079.83333333337</v>
      </c>
      <c r="Y437" s="19">
        <f t="shared" si="79"/>
        <v>102525.33333333333</v>
      </c>
      <c r="Z437" s="19">
        <f t="shared" si="79"/>
        <v>2876.6666666666665</v>
      </c>
      <c r="AA437" s="19">
        <f t="shared" si="79"/>
        <v>1935.0833333333333</v>
      </c>
      <c r="AB437" s="19">
        <f t="shared" si="79"/>
        <v>7096.416666666667</v>
      </c>
      <c r="AC437" s="19">
        <f t="shared" si="79"/>
        <v>2</v>
      </c>
      <c r="AD437" s="19">
        <f t="shared" si="79"/>
        <v>15.333333333333334</v>
      </c>
    </row>
    <row r="438" spans="1:30">
      <c r="A438" s="2">
        <f t="shared" si="72"/>
        <v>1988</v>
      </c>
      <c r="U438" s="2">
        <f t="shared" si="73"/>
        <v>1988</v>
      </c>
      <c r="W438" s="20">
        <f t="shared" si="63"/>
        <v>1060970.3333333335</v>
      </c>
      <c r="X438" s="19">
        <f t="shared" ref="X438:AD438" si="80">AVERAGE(X162:X173)</f>
        <v>941438.75</v>
      </c>
      <c r="Y438" s="19">
        <f t="shared" si="80"/>
        <v>106898.75</v>
      </c>
      <c r="Z438" s="19">
        <f t="shared" si="80"/>
        <v>2942.3333333333335</v>
      </c>
      <c r="AA438" s="19">
        <f t="shared" si="80"/>
        <v>2038.4166666666667</v>
      </c>
      <c r="AB438" s="19">
        <f t="shared" si="80"/>
        <v>7635.75</v>
      </c>
      <c r="AC438" s="19">
        <f t="shared" si="80"/>
        <v>1.9166666666666667</v>
      </c>
      <c r="AD438" s="19">
        <f t="shared" si="80"/>
        <v>14.416666666666666</v>
      </c>
    </row>
    <row r="439" spans="1:30">
      <c r="A439" s="2">
        <f t="shared" si="72"/>
        <v>1989</v>
      </c>
      <c r="U439" s="2">
        <f t="shared" si="73"/>
        <v>1989</v>
      </c>
      <c r="W439" s="20">
        <f t="shared" si="63"/>
        <v>1101816.8333333333</v>
      </c>
      <c r="X439" s="19">
        <f t="shared" ref="X439:AD439" si="81">AVERAGE(X174:X185)</f>
        <v>977449.08333333337</v>
      </c>
      <c r="Y439" s="19">
        <f t="shared" si="81"/>
        <v>111078.5</v>
      </c>
      <c r="Z439" s="19">
        <f t="shared" si="81"/>
        <v>3020.5833333333335</v>
      </c>
      <c r="AA439" s="19">
        <f t="shared" si="81"/>
        <v>2144.8333333333335</v>
      </c>
      <c r="AB439" s="19">
        <f t="shared" si="81"/>
        <v>8108</v>
      </c>
      <c r="AC439" s="19">
        <f t="shared" si="81"/>
        <v>2</v>
      </c>
      <c r="AD439" s="19">
        <f t="shared" si="81"/>
        <v>13.833333333333334</v>
      </c>
    </row>
    <row r="440" spans="1:30">
      <c r="A440" s="2">
        <f t="shared" si="72"/>
        <v>1990</v>
      </c>
      <c r="U440" s="2">
        <f t="shared" si="73"/>
        <v>1990</v>
      </c>
      <c r="W440" s="20">
        <f t="shared" si="63"/>
        <v>1135498.75</v>
      </c>
      <c r="X440" s="19">
        <f t="shared" ref="X440:AD440" si="82">AVERAGE(X186:X197)</f>
        <v>1007805.5</v>
      </c>
      <c r="Y440" s="19">
        <f t="shared" si="82"/>
        <v>113595.16666666667</v>
      </c>
      <c r="Z440" s="19">
        <f t="shared" si="82"/>
        <v>3114.8333333333335</v>
      </c>
      <c r="AA440" s="19">
        <f t="shared" si="82"/>
        <v>2255</v>
      </c>
      <c r="AB440" s="19">
        <f t="shared" si="82"/>
        <v>8710.8333333333339</v>
      </c>
      <c r="AC440" s="19">
        <f t="shared" si="82"/>
        <v>2</v>
      </c>
      <c r="AD440" s="19">
        <f t="shared" si="82"/>
        <v>15.416666666666666</v>
      </c>
    </row>
    <row r="441" spans="1:30">
      <c r="A441" s="2">
        <f t="shared" si="72"/>
        <v>1991</v>
      </c>
      <c r="U441" s="2">
        <f t="shared" si="73"/>
        <v>1991</v>
      </c>
      <c r="W441" s="20">
        <f t="shared" si="63"/>
        <v>1159237.1666666667</v>
      </c>
      <c r="X441" s="19">
        <f t="shared" ref="X441:AD441" si="83">AVERAGE(X198:X209)</f>
        <v>1029900.9166666666</v>
      </c>
      <c r="Y441" s="19">
        <f t="shared" si="83"/>
        <v>114657.33333333333</v>
      </c>
      <c r="Z441" s="19">
        <f t="shared" si="83"/>
        <v>3124.0833333333335</v>
      </c>
      <c r="AA441" s="19">
        <f t="shared" si="83"/>
        <v>2344.1666666666665</v>
      </c>
      <c r="AB441" s="19">
        <f t="shared" si="83"/>
        <v>9194</v>
      </c>
      <c r="AC441" s="19">
        <f t="shared" si="83"/>
        <v>2</v>
      </c>
      <c r="AD441" s="19">
        <f t="shared" si="83"/>
        <v>14.666666666666666</v>
      </c>
    </row>
    <row r="442" spans="1:30">
      <c r="A442" s="2">
        <f t="shared" si="72"/>
        <v>1992</v>
      </c>
      <c r="U442" s="2">
        <f t="shared" si="73"/>
        <v>1992</v>
      </c>
      <c r="W442" s="20">
        <f t="shared" si="63"/>
        <v>1182170.0833333335</v>
      </c>
      <c r="X442" s="19">
        <f t="shared" ref="X442:AD442" si="84">AVERAGE(X210:X221)</f>
        <v>1050076.75</v>
      </c>
      <c r="Y442" s="19">
        <f t="shared" si="84"/>
        <v>116726.75</v>
      </c>
      <c r="Z442" s="19">
        <f t="shared" si="84"/>
        <v>3136.6666666666665</v>
      </c>
      <c r="AA442" s="19">
        <f t="shared" si="84"/>
        <v>2378.3333333333335</v>
      </c>
      <c r="AB442" s="19">
        <f t="shared" si="84"/>
        <v>9835.1666666666661</v>
      </c>
      <c r="AC442" s="19">
        <f t="shared" si="84"/>
        <v>2</v>
      </c>
      <c r="AD442" s="19">
        <f t="shared" si="84"/>
        <v>14.416666666666666</v>
      </c>
    </row>
    <row r="443" spans="1:30">
      <c r="A443" s="2">
        <f t="shared" si="72"/>
        <v>1993</v>
      </c>
      <c r="C443" s="2">
        <f t="shared" ref="C443:L443" si="85">SUM(C222:C233)</f>
        <v>22049291</v>
      </c>
      <c r="D443" s="2">
        <f t="shared" si="85"/>
        <v>10396704</v>
      </c>
      <c r="E443" s="2">
        <f t="shared" si="85"/>
        <v>6163095</v>
      </c>
      <c r="F443" s="2">
        <f t="shared" si="85"/>
        <v>2599493</v>
      </c>
      <c r="G443" s="2">
        <f t="shared" si="85"/>
        <v>682623</v>
      </c>
      <c r="H443" s="2">
        <f t="shared" si="85"/>
        <v>1916870</v>
      </c>
      <c r="I443" s="2">
        <f t="shared" si="85"/>
        <v>19090</v>
      </c>
      <c r="J443" s="2">
        <f t="shared" si="85"/>
        <v>1452131</v>
      </c>
      <c r="K443" s="2">
        <f t="shared" si="85"/>
        <v>408478</v>
      </c>
      <c r="L443" s="2">
        <f t="shared" si="85"/>
        <v>1010300</v>
      </c>
      <c r="U443" s="2">
        <f t="shared" si="73"/>
        <v>1993</v>
      </c>
      <c r="W443" s="20">
        <f t="shared" si="63"/>
        <v>1206052.8333333333</v>
      </c>
      <c r="X443" s="19">
        <f t="shared" ref="X443:AD443" si="86">AVERAGE(X222:X233)</f>
        <v>1069182.75</v>
      </c>
      <c r="Y443" s="19">
        <f t="shared" si="86"/>
        <v>118803.66666666667</v>
      </c>
      <c r="Z443" s="19">
        <f t="shared" si="86"/>
        <v>3107.3333333333335</v>
      </c>
      <c r="AA443" s="19">
        <f t="shared" si="86"/>
        <v>2394.0833333333335</v>
      </c>
      <c r="AB443" s="19">
        <f t="shared" si="86"/>
        <v>12549</v>
      </c>
      <c r="AC443" s="19">
        <f t="shared" si="86"/>
        <v>2</v>
      </c>
      <c r="AD443" s="19">
        <f t="shared" si="86"/>
        <v>14</v>
      </c>
    </row>
    <row r="444" spans="1:30">
      <c r="A444" s="2">
        <f t="shared" si="72"/>
        <v>1994</v>
      </c>
      <c r="C444" s="2">
        <f t="shared" ref="C444:L444" si="87">SUM(C234:C245)</f>
        <v>29301816</v>
      </c>
      <c r="D444" s="2">
        <f t="shared" si="87"/>
        <v>13765564</v>
      </c>
      <c r="E444" s="2">
        <f t="shared" si="87"/>
        <v>8173069</v>
      </c>
      <c r="F444" s="2">
        <f t="shared" si="87"/>
        <v>3579598</v>
      </c>
      <c r="G444" s="2">
        <f t="shared" si="87"/>
        <v>1013286</v>
      </c>
      <c r="H444" s="2">
        <f t="shared" si="87"/>
        <v>2566312</v>
      </c>
      <c r="I444" s="2">
        <f t="shared" si="87"/>
        <v>26204</v>
      </c>
      <c r="J444" s="2">
        <f t="shared" si="87"/>
        <v>1938436</v>
      </c>
      <c r="K444" s="2">
        <f t="shared" si="87"/>
        <v>455844</v>
      </c>
      <c r="L444" s="2">
        <f t="shared" si="87"/>
        <v>1363101</v>
      </c>
      <c r="U444" s="2">
        <f t="shared" si="73"/>
        <v>1994</v>
      </c>
      <c r="W444" s="20">
        <f t="shared" si="63"/>
        <v>1231895.0833333335</v>
      </c>
      <c r="X444" s="19">
        <f t="shared" ref="X444:AD444" si="88">AVERAGE(X234:X245)</f>
        <v>1090116.4166666667</v>
      </c>
      <c r="Y444" s="19">
        <f t="shared" si="88"/>
        <v>121599</v>
      </c>
      <c r="Z444" s="19">
        <f t="shared" si="88"/>
        <v>3185.6666666666665</v>
      </c>
      <c r="AA444" s="19">
        <f t="shared" si="88"/>
        <v>2399.9166666666665</v>
      </c>
      <c r="AB444" s="19">
        <f t="shared" si="88"/>
        <v>14578.583333333334</v>
      </c>
      <c r="AC444" s="19">
        <f t="shared" si="88"/>
        <v>2</v>
      </c>
      <c r="AD444" s="19">
        <f t="shared" si="88"/>
        <v>13.5</v>
      </c>
    </row>
    <row r="445" spans="1:30">
      <c r="A445" s="2">
        <f t="shared" si="72"/>
        <v>1995</v>
      </c>
      <c r="C445" s="2">
        <f t="shared" ref="C445:L445" si="89">SUM(C246:C257)</f>
        <v>31143485</v>
      </c>
      <c r="D445" s="2">
        <f t="shared" si="89"/>
        <v>14831935</v>
      </c>
      <c r="E445" s="2">
        <f t="shared" si="89"/>
        <v>8531147</v>
      </c>
      <c r="F445" s="2">
        <f t="shared" si="89"/>
        <v>3864419</v>
      </c>
      <c r="G445" s="2">
        <f t="shared" si="89"/>
        <v>1246720</v>
      </c>
      <c r="H445" s="2">
        <f t="shared" si="89"/>
        <v>2617699</v>
      </c>
      <c r="I445" s="2">
        <f t="shared" si="89"/>
        <v>27054</v>
      </c>
      <c r="J445" s="2">
        <f t="shared" si="89"/>
        <v>2042508</v>
      </c>
      <c r="K445" s="2">
        <f t="shared" si="89"/>
        <v>672378</v>
      </c>
      <c r="L445" s="2">
        <f t="shared" si="89"/>
        <v>1174044</v>
      </c>
      <c r="U445" s="2">
        <f t="shared" si="73"/>
        <v>1995</v>
      </c>
      <c r="W445" s="20">
        <f t="shared" si="63"/>
        <v>1259553.8333333335</v>
      </c>
      <c r="X445" s="19">
        <f t="shared" ref="X445:AD445" si="90">AVERAGE(X246:X257)</f>
        <v>1114080.1666666667</v>
      </c>
      <c r="Y445" s="19">
        <f t="shared" si="90"/>
        <v>124773.66666666667</v>
      </c>
      <c r="Z445" s="19">
        <f t="shared" si="90"/>
        <v>3143.3333333333335</v>
      </c>
      <c r="AA445" s="19">
        <f t="shared" si="90"/>
        <v>2399.6666666666665</v>
      </c>
      <c r="AB445" s="19">
        <f t="shared" si="90"/>
        <v>15140.666666666666</v>
      </c>
      <c r="AC445" s="19">
        <f t="shared" si="90"/>
        <v>2.0833333333333335</v>
      </c>
      <c r="AD445" s="19">
        <f t="shared" si="90"/>
        <v>14.25</v>
      </c>
    </row>
    <row r="446" spans="1:30">
      <c r="A446" s="2">
        <f t="shared" si="72"/>
        <v>1996</v>
      </c>
      <c r="C446" s="2">
        <f t="shared" ref="C446:L446" si="91">SUM(C258:C269)</f>
        <v>32670842</v>
      </c>
      <c r="D446" s="2">
        <f t="shared" si="91"/>
        <v>15373425</v>
      </c>
      <c r="E446" s="2">
        <f t="shared" si="91"/>
        <v>8769175</v>
      </c>
      <c r="F446" s="2">
        <f t="shared" si="91"/>
        <v>4223680</v>
      </c>
      <c r="G446" s="2">
        <f t="shared" si="91"/>
        <v>1511488</v>
      </c>
      <c r="H446" s="2">
        <f t="shared" si="91"/>
        <v>2712192</v>
      </c>
      <c r="I446" s="2">
        <f t="shared" si="91"/>
        <v>26116</v>
      </c>
      <c r="J446" s="2">
        <f t="shared" si="91"/>
        <v>2189698</v>
      </c>
      <c r="K446" s="2">
        <f t="shared" si="91"/>
        <v>813948</v>
      </c>
      <c r="L446" s="2">
        <f t="shared" si="91"/>
        <v>1274800</v>
      </c>
      <c r="U446" s="2">
        <f t="shared" si="73"/>
        <v>1996</v>
      </c>
      <c r="W446" s="20">
        <f t="shared" si="63"/>
        <v>1279938.4166666667</v>
      </c>
      <c r="X446" s="19">
        <f t="shared" ref="X446:AD446" si="92">AVERAGE(X258:X269)</f>
        <v>1131158.3333333333</v>
      </c>
      <c r="Y446" s="19">
        <f t="shared" si="92"/>
        <v>128028.66666666667</v>
      </c>
      <c r="Z446" s="19">
        <f t="shared" si="92"/>
        <v>2926.8333333333335</v>
      </c>
      <c r="AA446" s="19">
        <f t="shared" si="92"/>
        <v>2298.9166666666665</v>
      </c>
      <c r="AB446" s="19">
        <f t="shared" si="92"/>
        <v>15509.416666666666</v>
      </c>
      <c r="AC446" s="19">
        <f t="shared" si="92"/>
        <v>2</v>
      </c>
      <c r="AD446" s="19">
        <f t="shared" si="92"/>
        <v>14.25</v>
      </c>
    </row>
    <row r="447" spans="1:30">
      <c r="A447" s="2">
        <f t="shared" si="72"/>
        <v>1997</v>
      </c>
      <c r="C447" s="2">
        <f>SUM(C270:C281)</f>
        <v>32407794</v>
      </c>
      <c r="D447" s="2">
        <f t="shared" ref="D447:L447" si="93">SUM(D270:D281)</f>
        <v>14978622</v>
      </c>
      <c r="E447" s="2">
        <f t="shared" si="93"/>
        <v>9174634</v>
      </c>
      <c r="F447" s="2">
        <f t="shared" si="93"/>
        <v>4187716</v>
      </c>
      <c r="G447" s="2">
        <f t="shared" si="93"/>
        <v>1385155</v>
      </c>
      <c r="H447" s="2">
        <f t="shared" si="93"/>
        <v>2802561</v>
      </c>
      <c r="I447" s="2">
        <f t="shared" si="93"/>
        <v>26717</v>
      </c>
      <c r="J447" s="2">
        <f t="shared" si="93"/>
        <v>2281977</v>
      </c>
      <c r="K447" s="2">
        <f t="shared" si="93"/>
        <v>722942</v>
      </c>
      <c r="L447" s="2">
        <f t="shared" si="93"/>
        <v>1035186</v>
      </c>
      <c r="U447" s="2">
        <f t="shared" si="73"/>
        <v>1997</v>
      </c>
      <c r="W447" s="20">
        <f t="shared" si="63"/>
        <v>1302350.5833333335</v>
      </c>
      <c r="X447" s="19">
        <f t="shared" ref="X447:AD447" si="94">AVERAGE(X270:X281)</f>
        <v>1150115.1666666667</v>
      </c>
      <c r="Y447" s="19">
        <f t="shared" si="94"/>
        <v>131072.16666666666</v>
      </c>
      <c r="Z447" s="19">
        <f t="shared" si="94"/>
        <v>2827.75</v>
      </c>
      <c r="AA447" s="19">
        <f t="shared" si="94"/>
        <v>2197.4166666666665</v>
      </c>
      <c r="AB447" s="19">
        <f t="shared" si="94"/>
        <v>16121.416666666666</v>
      </c>
      <c r="AC447" s="19">
        <f t="shared" si="94"/>
        <v>2.3333333333333335</v>
      </c>
      <c r="AD447" s="19">
        <f t="shared" si="94"/>
        <v>14.333333333333334</v>
      </c>
    </row>
    <row r="448" spans="1:30">
      <c r="A448" s="2">
        <f t="shared" si="72"/>
        <v>1998</v>
      </c>
      <c r="C448" s="2">
        <f>SUM(C282:C293)</f>
        <v>35511548</v>
      </c>
      <c r="D448" s="2">
        <f t="shared" ref="D448:L448" si="95">SUM(D282:D293)</f>
        <v>16414910</v>
      </c>
      <c r="E448" s="2">
        <f t="shared" si="95"/>
        <v>9913855</v>
      </c>
      <c r="F448" s="2">
        <f t="shared" si="95"/>
        <v>4375308</v>
      </c>
      <c r="G448" s="2">
        <f t="shared" si="95"/>
        <v>1553253</v>
      </c>
      <c r="H448" s="2">
        <f t="shared" si="95"/>
        <v>2822055</v>
      </c>
      <c r="I448" s="2">
        <f t="shared" si="95"/>
        <v>26708</v>
      </c>
      <c r="J448" s="2">
        <f t="shared" si="95"/>
        <v>2441053</v>
      </c>
      <c r="K448" s="2">
        <f t="shared" si="95"/>
        <v>1167557</v>
      </c>
      <c r="L448" s="2">
        <f t="shared" si="95"/>
        <v>1172157</v>
      </c>
      <c r="U448" s="2">
        <f t="shared" si="73"/>
        <v>1998</v>
      </c>
      <c r="W448" s="20">
        <f t="shared" si="63"/>
        <v>1328394.6666666667</v>
      </c>
      <c r="X448" s="19">
        <f t="shared" ref="X448:AD448" si="96">AVERAGE(X282:X293)</f>
        <v>1172008.75</v>
      </c>
      <c r="Y448" s="19">
        <f t="shared" si="96"/>
        <v>134898.91666666666</v>
      </c>
      <c r="Z448" s="19">
        <f t="shared" si="96"/>
        <v>2705.1666666666665</v>
      </c>
      <c r="AA448" s="19">
        <f t="shared" si="96"/>
        <v>2108.5833333333335</v>
      </c>
      <c r="AB448" s="19">
        <f t="shared" si="96"/>
        <v>16656.083333333332</v>
      </c>
      <c r="AC448" s="19">
        <f t="shared" si="96"/>
        <v>2.4166666666666665</v>
      </c>
      <c r="AD448" s="19">
        <f t="shared" si="96"/>
        <v>14.75</v>
      </c>
    </row>
    <row r="449" spans="1:30">
      <c r="A449" s="2">
        <f t="shared" si="72"/>
        <v>1999</v>
      </c>
      <c r="C449" s="2">
        <f>SUM(C294:C305)</f>
        <v>36499897</v>
      </c>
      <c r="D449" s="2">
        <f t="shared" ref="D449:L449" si="97">SUM(D294:D305)</f>
        <v>16139777</v>
      </c>
      <c r="E449" s="2">
        <f t="shared" si="97"/>
        <v>10243105</v>
      </c>
      <c r="F449" s="2">
        <f t="shared" si="97"/>
        <v>4333308</v>
      </c>
      <c r="G449" s="2">
        <f t="shared" si="97"/>
        <v>1494134</v>
      </c>
      <c r="H449" s="2">
        <f t="shared" si="97"/>
        <v>2839174</v>
      </c>
      <c r="I449" s="2">
        <f t="shared" si="97"/>
        <v>26500</v>
      </c>
      <c r="J449" s="2">
        <f t="shared" si="97"/>
        <v>2490501</v>
      </c>
      <c r="K449" s="2">
        <f t="shared" si="97"/>
        <v>1974489</v>
      </c>
      <c r="L449" s="2">
        <f t="shared" si="97"/>
        <v>1292217</v>
      </c>
      <c r="U449" s="2">
        <f t="shared" si="73"/>
        <v>1999</v>
      </c>
      <c r="W449" s="20">
        <f t="shared" si="63"/>
        <v>1364022.1666666663</v>
      </c>
      <c r="X449" s="19">
        <f t="shared" ref="X449:AD449" si="98">AVERAGE(X294:X305)</f>
        <v>1202582.75</v>
      </c>
      <c r="Y449" s="19">
        <f t="shared" si="98"/>
        <v>139451.83333333334</v>
      </c>
      <c r="Z449" s="19">
        <f t="shared" si="98"/>
        <v>2626.25</v>
      </c>
      <c r="AA449" s="19">
        <f t="shared" si="98"/>
        <v>2061.3333333333335</v>
      </c>
      <c r="AB449" s="19">
        <f t="shared" si="98"/>
        <v>17282.333333333332</v>
      </c>
      <c r="AC449" s="19">
        <f t="shared" si="98"/>
        <v>3.3333333333333335</v>
      </c>
      <c r="AD449" s="19">
        <f t="shared" si="98"/>
        <v>14.333333333333334</v>
      </c>
    </row>
    <row r="450" spans="1:30">
      <c r="A450" s="2">
        <f t="shared" si="72"/>
        <v>2000</v>
      </c>
      <c r="C450" s="2">
        <f>SUM(C306:C317)</f>
        <v>38352813</v>
      </c>
      <c r="D450" s="2">
        <f t="shared" ref="D450:L450" si="99">SUM(D306:D317)</f>
        <v>17007472</v>
      </c>
      <c r="E450" s="2">
        <f t="shared" si="99"/>
        <v>10729266</v>
      </c>
      <c r="F450" s="2">
        <f t="shared" si="99"/>
        <v>4248131</v>
      </c>
      <c r="G450" s="2">
        <f t="shared" si="99"/>
        <v>1297490</v>
      </c>
      <c r="H450" s="2">
        <f t="shared" si="99"/>
        <v>2950641</v>
      </c>
      <c r="I450" s="2">
        <f t="shared" si="99"/>
        <v>27754</v>
      </c>
      <c r="J450" s="2">
        <f t="shared" si="99"/>
        <v>2608155</v>
      </c>
      <c r="K450" s="2">
        <f t="shared" si="99"/>
        <v>2517816</v>
      </c>
      <c r="L450" s="2">
        <f t="shared" si="99"/>
        <v>1214219</v>
      </c>
      <c r="U450" s="2">
        <f t="shared" si="73"/>
        <v>2000</v>
      </c>
      <c r="W450" s="20">
        <f t="shared" si="63"/>
        <v>1387611.6666666667</v>
      </c>
      <c r="X450" s="19">
        <f t="shared" ref="X450:AD450" si="100">AVERAGE(X306:X317)</f>
        <v>1223320.0833333333</v>
      </c>
      <c r="Y450" s="19">
        <f t="shared" si="100"/>
        <v>141988.66666666666</v>
      </c>
      <c r="Z450" s="19">
        <f t="shared" si="100"/>
        <v>2530.75</v>
      </c>
      <c r="AA450" s="19">
        <f t="shared" si="100"/>
        <v>2052.6666666666665</v>
      </c>
      <c r="AB450" s="19">
        <f t="shared" si="100"/>
        <v>17701.25</v>
      </c>
      <c r="AC450" s="19">
        <f t="shared" si="100"/>
        <v>4</v>
      </c>
      <c r="AD450" s="19">
        <f t="shared" si="100"/>
        <v>14.25</v>
      </c>
    </row>
    <row r="451" spans="1:30">
      <c r="A451" s="2">
        <f>(A450+1)</f>
        <v>2001</v>
      </c>
      <c r="C451" s="2">
        <f>SUM(C318:C329)</f>
        <v>38891083</v>
      </c>
      <c r="D451" s="2">
        <f t="shared" ref="D451:L451" si="101">SUM(D318:D329)</f>
        <v>17493579</v>
      </c>
      <c r="E451" s="2">
        <f t="shared" si="101"/>
        <v>10977808</v>
      </c>
      <c r="F451" s="2">
        <f t="shared" si="101"/>
        <v>3871788</v>
      </c>
      <c r="G451" s="2">
        <f t="shared" si="101"/>
        <v>1021967</v>
      </c>
      <c r="H451" s="2">
        <f t="shared" si="101"/>
        <v>2849821</v>
      </c>
      <c r="I451" s="2">
        <f t="shared" si="101"/>
        <v>28005</v>
      </c>
      <c r="J451" s="2">
        <f t="shared" si="101"/>
        <v>2680510</v>
      </c>
      <c r="K451" s="2">
        <f t="shared" si="101"/>
        <v>2461148</v>
      </c>
      <c r="L451" s="2">
        <f t="shared" si="101"/>
        <v>1378245</v>
      </c>
      <c r="U451" s="2">
        <f t="shared" si="73"/>
        <v>2001</v>
      </c>
      <c r="W451" s="20">
        <f t="shared" si="63"/>
        <v>1432160</v>
      </c>
      <c r="X451" s="19">
        <f t="shared" ref="X451:AD451" si="102">AVERAGE(X318:X329)</f>
        <v>1263643.1666666667</v>
      </c>
      <c r="Y451" s="19">
        <f t="shared" si="102"/>
        <v>145451.83333333334</v>
      </c>
      <c r="Z451" s="19">
        <f t="shared" si="102"/>
        <v>2547.3333333333335</v>
      </c>
      <c r="AA451" s="19">
        <f t="shared" si="102"/>
        <v>1998.5</v>
      </c>
      <c r="AB451" s="19">
        <f t="shared" si="102"/>
        <v>18499.416666666668</v>
      </c>
      <c r="AC451" s="19">
        <f t="shared" si="102"/>
        <v>4.333333333333333</v>
      </c>
      <c r="AD451" s="19">
        <f t="shared" si="102"/>
        <v>15.416666666666666</v>
      </c>
    </row>
    <row r="452" spans="1:30">
      <c r="A452" s="2">
        <f>(A451+1)</f>
        <v>2002</v>
      </c>
      <c r="C452" s="2">
        <f>SUM(C330:C341)</f>
        <v>39810909</v>
      </c>
      <c r="D452" s="2">
        <f t="shared" ref="D452:L452" si="103">SUM(D330:D341)</f>
        <v>18637297</v>
      </c>
      <c r="E452" s="2">
        <f t="shared" si="103"/>
        <v>11333995</v>
      </c>
      <c r="F452" s="2">
        <f t="shared" si="103"/>
        <v>3834532</v>
      </c>
      <c r="G452" s="2">
        <f t="shared" si="103"/>
        <v>1001170</v>
      </c>
      <c r="H452" s="2">
        <f t="shared" si="103"/>
        <v>2833362</v>
      </c>
      <c r="I452" s="2">
        <f t="shared" si="103"/>
        <v>28193</v>
      </c>
      <c r="J452" s="2">
        <f t="shared" si="103"/>
        <v>2803825</v>
      </c>
      <c r="K452" s="2">
        <f t="shared" si="103"/>
        <v>999650</v>
      </c>
      <c r="L452" s="2">
        <f t="shared" si="103"/>
        <v>2173417</v>
      </c>
      <c r="U452" s="2">
        <f t="shared" si="73"/>
        <v>2002</v>
      </c>
      <c r="W452" s="20">
        <f t="shared" si="63"/>
        <v>1462847.0833333333</v>
      </c>
      <c r="X452" s="19">
        <f t="shared" ref="X452:AD452" si="104">AVERAGE(X330:X341)</f>
        <v>1290360.8333333333</v>
      </c>
      <c r="Y452" s="19">
        <f t="shared" si="104"/>
        <v>149028.5</v>
      </c>
      <c r="Z452" s="19">
        <f t="shared" si="104"/>
        <v>2530.5</v>
      </c>
      <c r="AA452" s="19">
        <f t="shared" si="104"/>
        <v>1949.6666666666667</v>
      </c>
      <c r="AB452" s="19">
        <f t="shared" si="104"/>
        <v>18955.5</v>
      </c>
      <c r="AC452" s="19">
        <f t="shared" si="104"/>
        <v>4.333333333333333</v>
      </c>
      <c r="AD452" s="19">
        <f t="shared" si="104"/>
        <v>17.75</v>
      </c>
    </row>
    <row r="453" spans="1:30">
      <c r="A453" s="2">
        <f>(A452+1)</f>
        <v>2003</v>
      </c>
      <c r="C453" s="2">
        <f>SUM(C342:C353)</f>
        <v>41088947</v>
      </c>
      <c r="D453" s="2">
        <f t="shared" ref="D453:L453" si="105">SUM(D342:D353)</f>
        <v>19307604</v>
      </c>
      <c r="E453" s="2">
        <f t="shared" si="105"/>
        <v>11466938</v>
      </c>
      <c r="F453" s="2">
        <f t="shared" si="105"/>
        <v>3999968</v>
      </c>
      <c r="G453" s="2">
        <f t="shared" si="105"/>
        <v>1134003</v>
      </c>
      <c r="H453" s="2">
        <f t="shared" si="105"/>
        <v>2865965</v>
      </c>
      <c r="I453" s="2">
        <f t="shared" si="105"/>
        <v>28531</v>
      </c>
      <c r="J453" s="2">
        <f t="shared" si="105"/>
        <v>2926474</v>
      </c>
      <c r="K453" s="2">
        <f t="shared" si="105"/>
        <v>966308</v>
      </c>
      <c r="L453" s="2">
        <f t="shared" si="105"/>
        <v>2393124</v>
      </c>
      <c r="U453" s="2">
        <f t="shared" si="73"/>
        <v>2003</v>
      </c>
      <c r="W453" s="20">
        <f t="shared" si="63"/>
        <v>1497418.0833333333</v>
      </c>
      <c r="X453" s="19">
        <f t="shared" ref="X453:AD453" si="106">AVERAGE(X342:X353)</f>
        <v>1320597.8333333333</v>
      </c>
      <c r="Y453" s="19">
        <f t="shared" si="106"/>
        <v>152745.16666666666</v>
      </c>
      <c r="Z453" s="19">
        <f t="shared" si="106"/>
        <v>2638</v>
      </c>
      <c r="AA453" s="19">
        <f t="shared" si="106"/>
        <v>1902.4166666666667</v>
      </c>
      <c r="AB453" s="19">
        <f t="shared" si="106"/>
        <v>19512.833333333332</v>
      </c>
      <c r="AC453" s="19">
        <f t="shared" si="106"/>
        <v>4.75</v>
      </c>
      <c r="AD453" s="19">
        <f t="shared" si="106"/>
        <v>17.083333333333332</v>
      </c>
    </row>
    <row r="454" spans="1:30">
      <c r="A454" s="2">
        <f>(A453+1)</f>
        <v>2004</v>
      </c>
      <c r="C454" s="2">
        <f>SUM(C354:C365)</f>
        <v>42274147</v>
      </c>
      <c r="D454" s="2">
        <f t="shared" ref="D454:L454" si="107">SUM(D354:D365)</f>
        <v>19231120</v>
      </c>
      <c r="E454" s="2">
        <f t="shared" si="107"/>
        <v>11649044</v>
      </c>
      <c r="F454" s="2">
        <f t="shared" si="107"/>
        <v>4068132</v>
      </c>
      <c r="G454" s="2">
        <f t="shared" si="107"/>
        <v>1232566</v>
      </c>
      <c r="H454" s="2">
        <f t="shared" si="107"/>
        <v>2835566</v>
      </c>
      <c r="I454" s="2">
        <f t="shared" si="107"/>
        <v>27831</v>
      </c>
      <c r="J454" s="2">
        <f t="shared" si="107"/>
        <v>2996929</v>
      </c>
      <c r="K454" s="2">
        <f>SUM(K354:K365)</f>
        <v>1090981</v>
      </c>
      <c r="L454" s="2">
        <f t="shared" si="107"/>
        <v>3210110</v>
      </c>
      <c r="U454" s="2">
        <f t="shared" si="73"/>
        <v>2004</v>
      </c>
      <c r="W454" s="20">
        <f t="shared" si="63"/>
        <v>1535365.5</v>
      </c>
      <c r="X454" s="20">
        <f t="shared" ref="X454:AD454" si="108">AVERAGE(X354:X365)</f>
        <v>1353224.3333333333</v>
      </c>
      <c r="Y454" s="19">
        <f t="shared" si="108"/>
        <v>157206.91666666666</v>
      </c>
      <c r="Z454" s="19">
        <f t="shared" si="108"/>
        <v>2727.8333333333335</v>
      </c>
      <c r="AA454" s="19">
        <f t="shared" si="108"/>
        <v>1840.75</v>
      </c>
      <c r="AB454" s="19">
        <f t="shared" si="108"/>
        <v>20340.916666666668</v>
      </c>
      <c r="AC454" s="19">
        <f t="shared" si="108"/>
        <v>5.916666666666667</v>
      </c>
      <c r="AD454" s="19">
        <f t="shared" si="108"/>
        <v>18.833333333333332</v>
      </c>
    </row>
    <row r="455" spans="1:30">
      <c r="A455" s="2">
        <f>(A454+1)</f>
        <v>2005</v>
      </c>
      <c r="C455" s="2">
        <f t="shared" ref="C455:L455" si="109">SUM(C366:C377)</f>
        <v>44142131</v>
      </c>
      <c r="D455" s="2">
        <f t="shared" si="109"/>
        <v>19770998</v>
      </c>
      <c r="E455" s="2">
        <f t="shared" si="109"/>
        <v>11858058</v>
      </c>
      <c r="F455" s="2">
        <f t="shared" si="109"/>
        <v>4139404</v>
      </c>
      <c r="G455" s="2">
        <f t="shared" si="109"/>
        <v>1272348</v>
      </c>
      <c r="H455" s="2">
        <f t="shared" si="109"/>
        <v>2867056</v>
      </c>
      <c r="I455" s="2">
        <f t="shared" si="109"/>
        <v>27293</v>
      </c>
      <c r="J455" s="2">
        <f t="shared" si="109"/>
        <v>3151142</v>
      </c>
      <c r="K455" s="2">
        <f t="shared" si="109"/>
        <v>1628971</v>
      </c>
      <c r="L455" s="2">
        <f t="shared" si="109"/>
        <v>3566265</v>
      </c>
      <c r="U455" s="2">
        <f t="shared" si="73"/>
        <v>2005</v>
      </c>
      <c r="W455" s="20">
        <f>SUM(X455:AD455)</f>
        <v>1570084.9999999998</v>
      </c>
      <c r="X455" s="20">
        <f t="shared" ref="X455:AD455" si="110">AVERAGE(X366:X377)</f>
        <v>1385497.3333333333</v>
      </c>
      <c r="Y455" s="20">
        <f t="shared" si="110"/>
        <v>159434.58333333334</v>
      </c>
      <c r="Z455" s="20">
        <f t="shared" si="110"/>
        <v>2698.3333333333335</v>
      </c>
      <c r="AA455" s="20">
        <f t="shared" si="110"/>
        <v>1779.75</v>
      </c>
      <c r="AB455" s="20">
        <f t="shared" si="110"/>
        <v>20648.583333333332</v>
      </c>
      <c r="AC455" s="20">
        <f t="shared" si="110"/>
        <v>7.416666666666667</v>
      </c>
      <c r="AD455" s="20">
        <f t="shared" si="110"/>
        <v>19</v>
      </c>
    </row>
  </sheetData>
  <phoneticPr fontId="0" type="noConversion"/>
  <printOptions gridLines="1" gridLinesSet="0"/>
  <pageMargins left="0.75" right="0.75" top="1" bottom="1" header="0.5" footer="0.5"/>
  <pageSetup orientation="landscape" horizontalDpi="4294967293" r:id="rId1"/>
  <headerFooter alignWithMargins="0">
    <oddHeader>&amp;CMwh Customers wo SEB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AI47"/>
  <sheetViews>
    <sheetView tabSelected="1" topLeftCell="A4" zoomScale="80" zoomScaleNormal="80" workbookViewId="0">
      <pane xSplit="1" ySplit="3" topLeftCell="B7" activePane="bottomRight" state="frozen"/>
      <selection activeCell="E477" sqref="E477"/>
      <selection pane="topRight" activeCell="E477" sqref="E477"/>
      <selection pane="bottomLeft" activeCell="E477" sqref="E477"/>
      <selection pane="bottomRight" activeCell="E477" sqref="E477"/>
    </sheetView>
  </sheetViews>
  <sheetFormatPr defaultColWidth="8.88671875" defaultRowHeight="12.75"/>
  <cols>
    <col min="1" max="1" width="8.88671875" style="88"/>
    <col min="2" max="5" width="9.5546875" style="77" bestFit="1" customWidth="1"/>
    <col min="6" max="8" width="8.77734375" style="77" bestFit="1" customWidth="1"/>
    <col min="9" max="9" width="7.44140625" style="77" bestFit="1" customWidth="1"/>
    <col min="10" max="12" width="8.77734375" style="77" bestFit="1" customWidth="1"/>
    <col min="13" max="13" width="9.5546875" style="77" bestFit="1" customWidth="1"/>
    <col min="14" max="14" width="9.33203125" style="77" bestFit="1" customWidth="1"/>
    <col min="15" max="15" width="9.5546875" style="77" bestFit="1" customWidth="1"/>
    <col min="16" max="16" width="8.21875" style="77" bestFit="1" customWidth="1"/>
    <col min="17" max="17" width="8.77734375" style="77" bestFit="1" customWidth="1"/>
    <col min="18" max="18" width="9.5546875" style="77" bestFit="1" customWidth="1"/>
    <col min="19" max="19" width="6.6640625" style="77" bestFit="1" customWidth="1"/>
    <col min="20" max="20" width="9.5546875" style="77" bestFit="1" customWidth="1"/>
    <col min="21" max="21" width="6.21875" style="77" bestFit="1" customWidth="1"/>
    <col min="22" max="22" width="3.77734375" style="77" customWidth="1"/>
    <col min="23" max="31" width="8.88671875" style="77"/>
    <col min="32" max="32" width="9.5546875" style="77" bestFit="1" customWidth="1"/>
    <col min="33" max="33" width="8.88671875" style="77"/>
    <col min="34" max="34" width="9.44140625" style="77" customWidth="1"/>
    <col min="35" max="35" width="10.109375" style="77" bestFit="1" customWidth="1"/>
    <col min="36" max="16384" width="8.88671875" style="77"/>
  </cols>
  <sheetData>
    <row r="4" spans="1:35">
      <c r="F4" s="89"/>
      <c r="G4" s="89"/>
      <c r="H4" s="89"/>
      <c r="I4" s="9"/>
      <c r="J4" s="9"/>
      <c r="K4" s="9"/>
      <c r="L4" s="9"/>
      <c r="M4" s="9"/>
      <c r="P4" s="9"/>
      <c r="R4" s="23"/>
      <c r="S4" s="78"/>
      <c r="T4" s="4"/>
      <c r="AH4" s="78"/>
    </row>
    <row r="5" spans="1:35">
      <c r="B5" s="90" t="s">
        <v>3</v>
      </c>
      <c r="C5" s="90" t="s">
        <v>3</v>
      </c>
      <c r="I5" s="8" t="s">
        <v>4</v>
      </c>
      <c r="J5" s="8" t="s">
        <v>5</v>
      </c>
      <c r="K5" s="9"/>
      <c r="L5" s="9"/>
      <c r="M5" s="34" t="s">
        <v>39</v>
      </c>
      <c r="N5" s="91" t="s">
        <v>6</v>
      </c>
      <c r="O5" s="91" t="s">
        <v>7</v>
      </c>
      <c r="P5" s="91" t="s">
        <v>8</v>
      </c>
      <c r="R5" s="90" t="s">
        <v>9</v>
      </c>
      <c r="S5" s="78" t="s">
        <v>10</v>
      </c>
      <c r="T5" s="34" t="s">
        <v>40</v>
      </c>
      <c r="U5" s="2"/>
      <c r="V5" s="2"/>
      <c r="W5" s="7" t="s">
        <v>3</v>
      </c>
      <c r="X5" s="9"/>
      <c r="Y5" s="9"/>
      <c r="Z5" s="9"/>
      <c r="AA5" s="8" t="s">
        <v>4</v>
      </c>
      <c r="AB5" s="8" t="s">
        <v>5</v>
      </c>
      <c r="AC5" s="9"/>
      <c r="AD5" s="9"/>
      <c r="AE5" s="97" t="s">
        <v>3</v>
      </c>
      <c r="AF5" s="7" t="s">
        <v>3</v>
      </c>
      <c r="AG5" s="91" t="s">
        <v>33</v>
      </c>
      <c r="AH5" s="78" t="s">
        <v>38</v>
      </c>
      <c r="AI5" s="78" t="s">
        <v>38</v>
      </c>
    </row>
    <row r="6" spans="1:35">
      <c r="A6" s="87" t="s">
        <v>32</v>
      </c>
      <c r="B6" s="14" t="s">
        <v>34</v>
      </c>
      <c r="C6" s="83" t="s">
        <v>9</v>
      </c>
      <c r="D6" s="12" t="s">
        <v>13</v>
      </c>
      <c r="E6" s="12" t="s">
        <v>14</v>
      </c>
      <c r="F6" s="12" t="s">
        <v>15</v>
      </c>
      <c r="G6" s="13" t="s">
        <v>16</v>
      </c>
      <c r="H6" s="14" t="s">
        <v>17</v>
      </c>
      <c r="I6" s="12" t="s">
        <v>18</v>
      </c>
      <c r="J6" s="12" t="s">
        <v>19</v>
      </c>
      <c r="K6" s="12" t="s">
        <v>20</v>
      </c>
      <c r="L6" s="12" t="s">
        <v>21</v>
      </c>
      <c r="M6" s="13" t="s">
        <v>22</v>
      </c>
      <c r="N6" s="14" t="s">
        <v>22</v>
      </c>
      <c r="O6" s="14" t="s">
        <v>23</v>
      </c>
      <c r="P6" s="14" t="s">
        <v>24</v>
      </c>
      <c r="Q6" s="14" t="s">
        <v>25</v>
      </c>
      <c r="R6" s="11" t="s">
        <v>26</v>
      </c>
      <c r="S6" s="15" t="s">
        <v>25</v>
      </c>
      <c r="T6" s="13" t="s">
        <v>22</v>
      </c>
      <c r="U6" s="11" t="s">
        <v>11</v>
      </c>
      <c r="V6" s="11"/>
      <c r="W6" s="11" t="s">
        <v>9</v>
      </c>
      <c r="X6" s="12" t="s">
        <v>13</v>
      </c>
      <c r="Y6" s="12" t="s">
        <v>14</v>
      </c>
      <c r="Z6" s="12" t="s">
        <v>15</v>
      </c>
      <c r="AA6" s="12" t="s">
        <v>18</v>
      </c>
      <c r="AB6" s="12" t="s">
        <v>19</v>
      </c>
      <c r="AC6" s="12" t="s">
        <v>20</v>
      </c>
      <c r="AD6" s="12" t="s">
        <v>21</v>
      </c>
      <c r="AE6" s="98" t="s">
        <v>37</v>
      </c>
      <c r="AF6" s="11" t="s">
        <v>34</v>
      </c>
      <c r="AG6" s="11" t="s">
        <v>34</v>
      </c>
      <c r="AH6" s="11" t="s">
        <v>34</v>
      </c>
      <c r="AI6" s="91" t="s">
        <v>41</v>
      </c>
    </row>
    <row r="7" spans="1:35">
      <c r="A7" s="88">
        <v>1975</v>
      </c>
      <c r="B7" s="92">
        <f t="shared" ref="B7:B42" si="0">SUM(D7:F7,I7:J7)</f>
        <v>11454660</v>
      </c>
      <c r="C7" s="92">
        <f>SUMIF('FPC wSEB'!A$6:A$413,$A7,'FPC wSEB'!C$6:C$413)</f>
        <v>11454660</v>
      </c>
      <c r="D7" s="92">
        <f>SUM('FPC wSEB'!D6:D17)</f>
        <v>5411989</v>
      </c>
      <c r="E7" s="92">
        <f>SUM('FPC wSEB'!E6:E17)</f>
        <v>3187474</v>
      </c>
      <c r="F7" s="92">
        <f>SUM('FPC wSEB'!F6:F17)</f>
        <v>2479374</v>
      </c>
      <c r="G7" s="92">
        <f>SUM('FPC wSEB'!G6:G17)</f>
        <v>1365369</v>
      </c>
      <c r="H7" s="92">
        <f>SUM('FPC wSEB'!H6:H17)</f>
        <v>1114005</v>
      </c>
      <c r="I7" s="92">
        <f>SUM('FPC wSEB'!I6:I17)</f>
        <v>86188</v>
      </c>
      <c r="J7" s="92">
        <f>SUM('FPC wSEB'!J6:J17)</f>
        <v>289635</v>
      </c>
      <c r="K7" s="92">
        <f>SUM('FPC wSEB'!K6:K17)</f>
        <v>0</v>
      </c>
      <c r="L7" s="92">
        <f>SUM('FPC wSEB'!L6:L17)</f>
        <v>0</v>
      </c>
      <c r="M7" s="92">
        <f>SUM('FPC wSEB'!M6:M17)</f>
        <v>0</v>
      </c>
      <c r="N7" s="92">
        <f>SUM('FPC wSEB'!N6:N17)</f>
        <v>0</v>
      </c>
      <c r="O7" s="92">
        <f>SUM('FPC wSEB'!O6:O17)</f>
        <v>0</v>
      </c>
      <c r="P7" s="92">
        <f>SUM('FPC wSEB'!P6:P17)</f>
        <v>0</v>
      </c>
      <c r="Q7" s="92">
        <f>SUM('FPC wSEB'!Q6:Q17)</f>
        <v>0</v>
      </c>
      <c r="R7" s="92">
        <f>SUM('FPC wSEB'!R6:R17)</f>
        <v>0</v>
      </c>
      <c r="S7" s="78"/>
      <c r="T7" s="4"/>
      <c r="U7" s="77">
        <v>1975</v>
      </c>
      <c r="W7" s="93">
        <f>AVERAGE('FPC wSEB'!W6:W17)</f>
        <v>621658.91666666663</v>
      </c>
      <c r="X7" s="93">
        <f>AVERAGE('FPC wSEB'!X6:X17)</f>
        <v>557893.41666666663</v>
      </c>
      <c r="Y7" s="93">
        <f>AVERAGE('FPC wSEB'!Y6:Y17)</f>
        <v>60598.166666666664</v>
      </c>
      <c r="Z7" s="93">
        <f>AVERAGE('FPC wSEB'!Z6:Z17)</f>
        <v>1466.3333333333333</v>
      </c>
      <c r="AA7" s="93">
        <f>AVERAGE('FPC wSEB'!AA6:AA17)</f>
        <v>1553.8333333333333</v>
      </c>
      <c r="AB7" s="93">
        <f>AVERAGE('FPC wSEB'!AB6:AB17)</f>
        <v>147.16666666666666</v>
      </c>
      <c r="AC7" s="93"/>
      <c r="AD7" s="93"/>
      <c r="AF7" s="92">
        <f t="shared" ref="AF7:AF41" si="1">SUM(X7:AB7)</f>
        <v>621658.91666666663</v>
      </c>
      <c r="AH7" s="78"/>
    </row>
    <row r="8" spans="1:35">
      <c r="A8" s="88">
        <f t="shared" ref="A8:A13" si="2">A7+1</f>
        <v>1976</v>
      </c>
      <c r="B8" s="92">
        <f t="shared" si="0"/>
        <v>12169181</v>
      </c>
      <c r="C8" s="92">
        <f>SUMIF('FPC wSEB'!A$6:A$413,$A8,'FPC wSEB'!C$6:C$413)</f>
        <v>14816624</v>
      </c>
      <c r="D8" s="92">
        <f>SUM('FPC wSEB'!D18:D29)</f>
        <v>5750890</v>
      </c>
      <c r="E8" s="92">
        <f>SUM('FPC wSEB'!E18:E29)</f>
        <v>3298036</v>
      </c>
      <c r="F8" s="92">
        <f>SUM('FPC wSEB'!F18:F29)</f>
        <v>2690524</v>
      </c>
      <c r="G8" s="92">
        <f>SUM('FPC wSEB'!G18:G29)</f>
        <v>1471024</v>
      </c>
      <c r="H8" s="92">
        <f>SUM('FPC wSEB'!H18:H29)</f>
        <v>1219500</v>
      </c>
      <c r="I8" s="92">
        <f>SUM('FPC wSEB'!I18:I29)</f>
        <v>92990</v>
      </c>
      <c r="J8" s="92">
        <f>SUM('FPC wSEB'!J18:J29)</f>
        <v>336741</v>
      </c>
      <c r="K8" s="92">
        <f>SUM('FPC wSEB'!K18:K29)</f>
        <v>1472075</v>
      </c>
      <c r="L8" s="92">
        <f>SUM('FPC wSEB'!L18:L29)</f>
        <v>1175368</v>
      </c>
      <c r="M8" s="92">
        <f>SUM('FPC wSEB'!M18:M29)</f>
        <v>0</v>
      </c>
      <c r="N8" s="92">
        <f>SUM('FPC wSEB'!N18:N29)</f>
        <v>0</v>
      </c>
      <c r="O8" s="92">
        <f>SUM('FPC wSEB'!O18:O29)</f>
        <v>0</v>
      </c>
      <c r="P8" s="92">
        <f>SUM('FPC wSEB'!P18:P29)</f>
        <v>0</v>
      </c>
      <c r="Q8" s="92">
        <f>SUM('FPC wSEB'!Q18:Q29)</f>
        <v>0</v>
      </c>
      <c r="R8" s="92">
        <f>SUM('FPC wSEB'!R18:R29)</f>
        <v>0</v>
      </c>
      <c r="S8" s="78"/>
      <c r="T8" s="4"/>
      <c r="U8" s="77">
        <f t="shared" ref="U8:U13" si="3">U7+1</f>
        <v>1976</v>
      </c>
      <c r="W8" s="93">
        <f>AVERAGE('FPC wSEB'!W18:W29)</f>
        <v>644846.08333333337</v>
      </c>
      <c r="X8" s="93">
        <f>AVERAGE('FPC wSEB'!X18:X29)</f>
        <v>579044.08333333337</v>
      </c>
      <c r="Y8" s="93">
        <f>AVERAGE('FPC wSEB'!Y18:Y29)</f>
        <v>62276.833333333336</v>
      </c>
      <c r="Z8" s="93">
        <f>AVERAGE('FPC wSEB'!Z18:Z29)</f>
        <v>1489</v>
      </c>
      <c r="AA8" s="93">
        <f>AVERAGE('FPC wSEB'!AA18:AA29)</f>
        <v>1647.75</v>
      </c>
      <c r="AB8" s="93">
        <f>AVERAGE('FPC wSEB'!AB18:AB29)</f>
        <v>260.75</v>
      </c>
      <c r="AC8" s="93">
        <f>AVERAGE('FPC wSEB'!AC18:AC29)</f>
        <v>108.41666666666667</v>
      </c>
      <c r="AD8" s="93">
        <f>AVERAGE('FPC wSEB'!AD18:AD29)</f>
        <v>19.25</v>
      </c>
      <c r="AE8" s="96">
        <f>AVERAGE('FPC wSEB'!AE18:AE29)</f>
        <v>127.66666666666667</v>
      </c>
      <c r="AF8" s="92">
        <f t="shared" si="1"/>
        <v>644718.41666666674</v>
      </c>
      <c r="AG8" s="92">
        <f t="shared" ref="AG8:AG36" si="4">AF8-AF7</f>
        <v>23059.500000000116</v>
      </c>
      <c r="AH8" s="78"/>
    </row>
    <row r="9" spans="1:35">
      <c r="A9" s="88">
        <f t="shared" si="2"/>
        <v>1977</v>
      </c>
      <c r="B9" s="92">
        <f t="shared" si="0"/>
        <v>13181067</v>
      </c>
      <c r="C9" s="92">
        <f>SUMIF('FPC wSEB'!A$6:A$413,$A9,'FPC wSEB'!C$6:C$413)</f>
        <v>15934996</v>
      </c>
      <c r="D9" s="92">
        <f>SUM('FPC wSEB'!D30:D41)</f>
        <v>6373900</v>
      </c>
      <c r="E9" s="92">
        <f>SUM('FPC wSEB'!E30:E41)</f>
        <v>3526559</v>
      </c>
      <c r="F9" s="92">
        <f>SUM('FPC wSEB'!F30:F41)</f>
        <v>2813000</v>
      </c>
      <c r="G9" s="92">
        <f>SUM('FPC wSEB'!G30:G41)</f>
        <v>1445452</v>
      </c>
      <c r="H9" s="92">
        <f>SUM('FPC wSEB'!H30:H41)</f>
        <v>1367548</v>
      </c>
      <c r="I9" s="92">
        <f>SUM('FPC wSEB'!I30:I41)</f>
        <v>96462</v>
      </c>
      <c r="J9" s="92">
        <f>SUM('FPC wSEB'!J30:J41)</f>
        <v>371146</v>
      </c>
      <c r="K9" s="92">
        <f>SUM('FPC wSEB'!K30:K41)</f>
        <v>1582558</v>
      </c>
      <c r="L9" s="92">
        <f>SUM('FPC wSEB'!L30:L41)</f>
        <v>1171371</v>
      </c>
      <c r="M9" s="92">
        <f>SUM('FPC wSEB'!M30:M41)</f>
        <v>0</v>
      </c>
      <c r="N9" s="92">
        <f>SUM('FPC wSEB'!N30:N41)</f>
        <v>0</v>
      </c>
      <c r="O9" s="92">
        <f>SUM('FPC wSEB'!O30:O41)</f>
        <v>0</v>
      </c>
      <c r="P9" s="92">
        <f>SUM('FPC wSEB'!P30:P41)</f>
        <v>0</v>
      </c>
      <c r="Q9" s="92">
        <f>SUM('FPC wSEB'!Q30:Q41)</f>
        <v>0</v>
      </c>
      <c r="R9" s="92">
        <f>SUM('FPC wSEB'!R30:R41)</f>
        <v>0</v>
      </c>
      <c r="S9" s="78"/>
      <c r="T9" s="4"/>
      <c r="U9" s="77">
        <f t="shared" si="3"/>
        <v>1977</v>
      </c>
      <c r="W9" s="93">
        <f>AVERAGE('FPC wSEB'!W30:W41)</f>
        <v>669614.5</v>
      </c>
      <c r="X9" s="93">
        <f>AVERAGE('FPC wSEB'!X30:X41)</f>
        <v>601062.33333333337</v>
      </c>
      <c r="Y9" s="93">
        <f>AVERAGE('FPC wSEB'!Y30:Y41)</f>
        <v>64782.666666666664</v>
      </c>
      <c r="Z9" s="93">
        <f>AVERAGE('FPC wSEB'!Z30:Z41)</f>
        <v>1654.9166666666667</v>
      </c>
      <c r="AA9" s="93">
        <f>AVERAGE('FPC wSEB'!AA30:AA41)</f>
        <v>1691.5</v>
      </c>
      <c r="AB9" s="93">
        <f>AVERAGE('FPC wSEB'!AB30:AB41)</f>
        <v>282.83333333333331</v>
      </c>
      <c r="AC9" s="93">
        <f>AVERAGE('FPC wSEB'!AC30:AC41)</f>
        <v>112.66666666666667</v>
      </c>
      <c r="AD9" s="93">
        <f>AVERAGE('FPC wSEB'!AD30:AD41)</f>
        <v>27.583333333333332</v>
      </c>
      <c r="AE9" s="96">
        <f>AVERAGE('FPC wSEB'!AE30:AE41)</f>
        <v>140.25</v>
      </c>
      <c r="AF9" s="92">
        <f t="shared" si="1"/>
        <v>669474.25</v>
      </c>
      <c r="AG9" s="92">
        <f t="shared" si="4"/>
        <v>24755.833333333256</v>
      </c>
      <c r="AH9" s="78"/>
    </row>
    <row r="10" spans="1:35">
      <c r="A10" s="88">
        <f t="shared" si="2"/>
        <v>1978</v>
      </c>
      <c r="B10" s="92">
        <f t="shared" si="0"/>
        <v>14049624</v>
      </c>
      <c r="C10" s="92">
        <f>SUMIF('FPC wSEB'!A$6:A$413,$A10,'FPC wSEB'!C$6:C$413)</f>
        <v>17046738</v>
      </c>
      <c r="D10" s="92">
        <f>SUM('FPC wSEB'!D42:D53)</f>
        <v>6838909</v>
      </c>
      <c r="E10" s="92">
        <f>SUM('FPC wSEB'!E42:E53)</f>
        <v>3766192</v>
      </c>
      <c r="F10" s="92">
        <f>SUM('FPC wSEB'!F42:F53)</f>
        <v>2942065</v>
      </c>
      <c r="G10" s="92">
        <f>SUM('FPC wSEB'!G42:G53)</f>
        <v>1506694</v>
      </c>
      <c r="H10" s="92">
        <f>SUM('FPC wSEB'!H42:H53)</f>
        <v>1435371</v>
      </c>
      <c r="I10" s="92">
        <f>SUM('FPC wSEB'!I42:I53)</f>
        <v>98763</v>
      </c>
      <c r="J10" s="92">
        <f>SUM('FPC wSEB'!J42:J53)</f>
        <v>403695</v>
      </c>
      <c r="K10" s="92">
        <f>SUM('FPC wSEB'!K42:K53)</f>
        <v>1754690</v>
      </c>
      <c r="L10" s="92">
        <f>SUM('FPC wSEB'!L42:L53)</f>
        <v>1242424</v>
      </c>
      <c r="M10" s="92">
        <f>SUM('FPC wSEB'!M42:M53)</f>
        <v>0</v>
      </c>
      <c r="N10" s="92">
        <f>SUM('FPC wSEB'!N42:N53)</f>
        <v>0</v>
      </c>
      <c r="O10" s="92">
        <f>SUM('FPC wSEB'!O42:O53)</f>
        <v>0</v>
      </c>
      <c r="P10" s="92">
        <f>SUM('FPC wSEB'!P42:P53)</f>
        <v>0</v>
      </c>
      <c r="Q10" s="92">
        <f>SUM('FPC wSEB'!Q42:Q53)</f>
        <v>0</v>
      </c>
      <c r="R10" s="92">
        <f>SUM('FPC wSEB'!R42:R53)</f>
        <v>0</v>
      </c>
      <c r="S10" s="78"/>
      <c r="T10" s="4"/>
      <c r="U10" s="77">
        <f t="shared" si="3"/>
        <v>1978</v>
      </c>
      <c r="W10" s="93">
        <f>AVERAGE('FPC wSEB'!W42:W53)</f>
        <v>699677.41666666663</v>
      </c>
      <c r="X10" s="93">
        <f>AVERAGE('FPC wSEB'!X42:X53)</f>
        <v>627694.41666666663</v>
      </c>
      <c r="Y10" s="93">
        <f>AVERAGE('FPC wSEB'!Y42:Y53)</f>
        <v>68028.416666666672</v>
      </c>
      <c r="Z10" s="93">
        <f>AVERAGE('FPC wSEB'!Z42:Z53)</f>
        <v>1795.3333333333333</v>
      </c>
      <c r="AA10" s="93">
        <f>AVERAGE('FPC wSEB'!AA42:AA53)</f>
        <v>1733.3333333333333</v>
      </c>
      <c r="AB10" s="93">
        <f>AVERAGE('FPC wSEB'!AB42:AB53)</f>
        <v>287.33333333333331</v>
      </c>
      <c r="AC10" s="93">
        <f>AVERAGE('FPC wSEB'!AC42:AC53)</f>
        <v>109.58333333333333</v>
      </c>
      <c r="AD10" s="93">
        <f>AVERAGE('FPC wSEB'!AD42:AD53)</f>
        <v>29</v>
      </c>
      <c r="AE10" s="96">
        <f>AVERAGE('FPC wSEB'!AE42:AE53)</f>
        <v>138.58333333333334</v>
      </c>
      <c r="AF10" s="92">
        <f t="shared" si="1"/>
        <v>699538.83333333337</v>
      </c>
      <c r="AG10" s="92">
        <f t="shared" si="4"/>
        <v>30064.583333333372</v>
      </c>
      <c r="AH10" s="78"/>
    </row>
    <row r="11" spans="1:35">
      <c r="A11" s="88">
        <f t="shared" si="2"/>
        <v>1979</v>
      </c>
      <c r="B11" s="92">
        <f t="shared" si="0"/>
        <v>14524408</v>
      </c>
      <c r="C11" s="92">
        <f>SUMIF('FPC wSEB'!A$6:A$413,$A11,'FPC wSEB'!C$6:C$413)</f>
        <v>17569184</v>
      </c>
      <c r="D11" s="92">
        <f>SUM('FPC wSEB'!D54:D65)</f>
        <v>6927339</v>
      </c>
      <c r="E11" s="92">
        <f>SUM('FPC wSEB'!E54:E65)</f>
        <v>3646278</v>
      </c>
      <c r="F11" s="92">
        <f>SUM('FPC wSEB'!F54:F65)</f>
        <v>3215932</v>
      </c>
      <c r="G11" s="92">
        <f>SUM('FPC wSEB'!G54:G65)</f>
        <v>1681005</v>
      </c>
      <c r="H11" s="92">
        <f>SUM('FPC wSEB'!H54:H65)</f>
        <v>1534927</v>
      </c>
      <c r="I11" s="92">
        <f>SUM('FPC wSEB'!I54:I65)</f>
        <v>101259</v>
      </c>
      <c r="J11" s="92">
        <f>SUM('FPC wSEB'!J54:J65)</f>
        <v>633600</v>
      </c>
      <c r="K11" s="92">
        <f>SUM('FPC wSEB'!K54:K65)</f>
        <v>1815710</v>
      </c>
      <c r="L11" s="92">
        <f>SUM('FPC wSEB'!L54:L65)</f>
        <v>1229066</v>
      </c>
      <c r="M11" s="92">
        <f>SUM('FPC wSEB'!M54:M65)</f>
        <v>0</v>
      </c>
      <c r="N11" s="92">
        <f>SUM('FPC wSEB'!N54:N65)</f>
        <v>0</v>
      </c>
      <c r="O11" s="92">
        <f>SUM('FPC wSEB'!O54:O65)</f>
        <v>0</v>
      </c>
      <c r="P11" s="92">
        <f>SUM('FPC wSEB'!P54:P65)</f>
        <v>0</v>
      </c>
      <c r="Q11" s="92">
        <f>SUM('FPC wSEB'!Q54:Q65)</f>
        <v>0</v>
      </c>
      <c r="R11" s="92">
        <f>SUM('FPC wSEB'!R54:R65)</f>
        <v>18811859</v>
      </c>
      <c r="S11" s="78"/>
      <c r="T11" s="4"/>
      <c r="U11" s="77">
        <f t="shared" si="3"/>
        <v>1979</v>
      </c>
      <c r="W11" s="93">
        <f>AVERAGE('FPC wSEB'!W54:W65)</f>
        <v>735633.41666666663</v>
      </c>
      <c r="X11" s="93">
        <f>AVERAGE('FPC wSEB'!X54:X65)</f>
        <v>660009.5</v>
      </c>
      <c r="Y11" s="93">
        <f>AVERAGE('FPC wSEB'!Y54:Y65)</f>
        <v>70099.916666666672</v>
      </c>
      <c r="Z11" s="93">
        <f>AVERAGE('FPC wSEB'!Z54:Z65)</f>
        <v>1995.4166666666667</v>
      </c>
      <c r="AA11" s="93">
        <f>AVERAGE('FPC wSEB'!AA54:AA65)</f>
        <v>1800.0833333333333</v>
      </c>
      <c r="AB11" s="93">
        <f>AVERAGE('FPC wSEB'!AB54:AB65)</f>
        <v>1589.4166666666667</v>
      </c>
      <c r="AC11" s="93">
        <f>AVERAGE('FPC wSEB'!AC54:AC65)</f>
        <v>109.58333333333333</v>
      </c>
      <c r="AD11" s="93">
        <f>AVERAGE('FPC wSEB'!AD54:AD65)</f>
        <v>29.5</v>
      </c>
      <c r="AE11" s="96">
        <f>AVERAGE('FPC wSEB'!AE54:AE65)</f>
        <v>139.08333333333334</v>
      </c>
      <c r="AF11" s="92">
        <f t="shared" si="1"/>
        <v>735494.33333333326</v>
      </c>
      <c r="AG11" s="92">
        <f t="shared" si="4"/>
        <v>35955.499999999884</v>
      </c>
      <c r="AH11" s="78"/>
    </row>
    <row r="12" spans="1:35">
      <c r="A12" s="88">
        <f t="shared" si="2"/>
        <v>1980</v>
      </c>
      <c r="B12" s="92">
        <f t="shared" si="0"/>
        <v>15429543</v>
      </c>
      <c r="C12" s="92">
        <f>SUMIF('FPC wSEB'!A$6:A$413,$A12,'FPC wSEB'!C$6:C$413)</f>
        <v>18807655</v>
      </c>
      <c r="D12" s="92">
        <f>SUM('FPC wSEB'!D66:D77)</f>
        <v>7379739</v>
      </c>
      <c r="E12" s="92">
        <f>SUM('FPC wSEB'!E66:E77)</f>
        <v>3581113</v>
      </c>
      <c r="F12" s="92">
        <f>SUM('FPC wSEB'!F66:F77)</f>
        <v>3480994</v>
      </c>
      <c r="G12" s="92">
        <f>SUM('FPC wSEB'!G66:G77)</f>
        <v>1857691</v>
      </c>
      <c r="H12" s="92">
        <f>SUM('FPC wSEB'!H66:H77)</f>
        <v>1623303</v>
      </c>
      <c r="I12" s="92">
        <f>SUM('FPC wSEB'!I66:I77)</f>
        <v>27633</v>
      </c>
      <c r="J12" s="92">
        <f>SUM('FPC wSEB'!J66:J77)</f>
        <v>960064</v>
      </c>
      <c r="K12" s="92">
        <f>SUM('FPC wSEB'!K66:K77)</f>
        <v>2027386</v>
      </c>
      <c r="L12" s="92">
        <f>SUM('FPC wSEB'!L66:L77)</f>
        <v>1350726</v>
      </c>
      <c r="M12" s="92">
        <f>SUM('FPC wSEB'!M66:M77)</f>
        <v>812357</v>
      </c>
      <c r="N12" s="92">
        <f>SUM('FPC wSEB'!N66:N77)</f>
        <v>0</v>
      </c>
      <c r="O12" s="92">
        <f>SUM('FPC wSEB'!O66:O77)</f>
        <v>0</v>
      </c>
      <c r="P12" s="92">
        <f>SUM('FPC wSEB'!P66:P77)</f>
        <v>0</v>
      </c>
      <c r="Q12" s="92">
        <f>SUM('FPC wSEB'!Q66:Q77)</f>
        <v>0</v>
      </c>
      <c r="R12" s="92">
        <f>SUM('FPC wSEB'!R66:R77)</f>
        <v>20152801</v>
      </c>
      <c r="S12" s="78"/>
      <c r="T12" s="4"/>
      <c r="U12" s="77">
        <f t="shared" si="3"/>
        <v>1980</v>
      </c>
      <c r="W12" s="93">
        <f>AVERAGE('FPC wSEB'!W66:W77)</f>
        <v>772265.33333333337</v>
      </c>
      <c r="X12" s="93">
        <f>AVERAGE('FPC wSEB'!X66:X77)</f>
        <v>693398.25</v>
      </c>
      <c r="Y12" s="93">
        <f>AVERAGE('FPC wSEB'!Y66:Y77)</f>
        <v>71431.25</v>
      </c>
      <c r="Z12" s="93">
        <f>AVERAGE('FPC wSEB'!Z66:Z77)</f>
        <v>2156</v>
      </c>
      <c r="AA12" s="93">
        <f>AVERAGE('FPC wSEB'!AA66:AA77)</f>
        <v>1444</v>
      </c>
      <c r="AB12" s="93">
        <f>AVERAGE('FPC wSEB'!AB66:AB77)</f>
        <v>3697.75</v>
      </c>
      <c r="AC12" s="93">
        <f>AVERAGE('FPC wSEB'!AC66:AC77)</f>
        <v>107</v>
      </c>
      <c r="AD12" s="93">
        <f>AVERAGE('FPC wSEB'!AD66:AD77)</f>
        <v>31.083333333333332</v>
      </c>
      <c r="AE12" s="96">
        <f>AVERAGE('FPC wSEB'!AE66:AE77)</f>
        <v>138.08333333333334</v>
      </c>
      <c r="AF12" s="92">
        <f t="shared" si="1"/>
        <v>772127.25</v>
      </c>
      <c r="AG12" s="92">
        <f t="shared" si="4"/>
        <v>36632.916666666744</v>
      </c>
      <c r="AH12" s="78"/>
    </row>
    <row r="13" spans="1:35">
      <c r="A13" s="88">
        <f t="shared" si="2"/>
        <v>1981</v>
      </c>
      <c r="B13" s="92">
        <f t="shared" si="0"/>
        <v>15814259</v>
      </c>
      <c r="C13" s="92">
        <f>SUMIF('FPC wSEB'!A$6:A$413,$A13,'FPC wSEB'!C$6:C$413)</f>
        <v>19456855</v>
      </c>
      <c r="D13" s="92">
        <f>SUM('FPC wSEB'!D78:D89)</f>
        <v>7752265</v>
      </c>
      <c r="E13" s="92">
        <f>SUM('FPC wSEB'!E78:E89)</f>
        <v>3735193</v>
      </c>
      <c r="F13" s="92">
        <f>SUM('FPC wSEB'!F78:F89)</f>
        <v>3288325</v>
      </c>
      <c r="G13" s="92">
        <f>SUM('FPC wSEB'!G78:G89)</f>
        <v>1723389</v>
      </c>
      <c r="H13" s="92">
        <f>SUM('FPC wSEB'!H78:H89)</f>
        <v>1564936</v>
      </c>
      <c r="I13" s="92">
        <f>SUM('FPC wSEB'!I78:I89)</f>
        <v>21764</v>
      </c>
      <c r="J13" s="92">
        <f>SUM('FPC wSEB'!J78:J89)</f>
        <v>1016712</v>
      </c>
      <c r="K13" s="92">
        <f>SUM('FPC wSEB'!K78:K89)</f>
        <v>2223018</v>
      </c>
      <c r="L13" s="92">
        <f>SUM('FPC wSEB'!L78:L89)</f>
        <v>1419578</v>
      </c>
      <c r="M13" s="92">
        <f>SUM('FPC wSEB'!M78:M89)</f>
        <v>10390326</v>
      </c>
      <c r="N13" s="92">
        <f>SUM('FPC wSEB'!N78:N89)</f>
        <v>161004</v>
      </c>
      <c r="O13" s="92">
        <f>SUM('FPC wSEB'!O78:O89)</f>
        <v>19617859</v>
      </c>
      <c r="P13" s="92">
        <f>SUM('FPC wSEB'!P78:P89)</f>
        <v>112457</v>
      </c>
      <c r="Q13" s="92">
        <f>SUM('FPC wSEB'!Q78:Q89)</f>
        <v>1193491</v>
      </c>
      <c r="R13" s="92">
        <f>SUM('FPC wSEB'!R78:R89)</f>
        <v>20923807</v>
      </c>
      <c r="S13" s="94">
        <f t="shared" ref="S13:S41" si="5">(Q13/R13)</f>
        <v>5.7039858951098144E-2</v>
      </c>
      <c r="T13" s="4"/>
      <c r="U13" s="77">
        <f t="shared" si="3"/>
        <v>1981</v>
      </c>
      <c r="W13" s="93">
        <f>AVERAGE('FPC wSEB'!W78:W89)</f>
        <v>802786.58333333337</v>
      </c>
      <c r="X13" s="93">
        <f>AVERAGE('FPC wSEB'!X78:X89)</f>
        <v>720589.66666666663</v>
      </c>
      <c r="Y13" s="93">
        <f>AVERAGE('FPC wSEB'!Y78:Y89)</f>
        <v>74412.666666666672</v>
      </c>
      <c r="Z13" s="93">
        <f>AVERAGE('FPC wSEB'!Z78:Z89)</f>
        <v>2241.0833333333335</v>
      </c>
      <c r="AA13" s="93">
        <f>AVERAGE('FPC wSEB'!AA78:AA89)</f>
        <v>1459.4166666666667</v>
      </c>
      <c r="AB13" s="93">
        <f>AVERAGE('FPC wSEB'!AB78:AB89)</f>
        <v>3944.9166666666665</v>
      </c>
      <c r="AC13" s="93">
        <f>AVERAGE('FPC wSEB'!AC78:AC89)</f>
        <v>106.5</v>
      </c>
      <c r="AD13" s="93">
        <f>AVERAGE('FPC wSEB'!AD78:AD89)</f>
        <v>32.333333333333336</v>
      </c>
      <c r="AE13" s="96">
        <f>AVERAGE('FPC wSEB'!AE78:AE89)</f>
        <v>138.83333333333334</v>
      </c>
      <c r="AF13" s="92">
        <f t="shared" si="1"/>
        <v>802647.74999999988</v>
      </c>
      <c r="AG13" s="92">
        <f t="shared" si="4"/>
        <v>30520.499999999884</v>
      </c>
      <c r="AH13" s="78"/>
    </row>
    <row r="14" spans="1:35">
      <c r="A14" s="88">
        <f t="shared" ref="A14:A45" si="6">(A13+1)</f>
        <v>1982</v>
      </c>
      <c r="B14" s="92">
        <f t="shared" si="0"/>
        <v>15130619</v>
      </c>
      <c r="C14" s="92">
        <f>SUMIF('FPC wSEB'!A$6:A$413,$A14,'FPC wSEB'!C$6:C$413)</f>
        <v>18760813</v>
      </c>
      <c r="D14" s="92">
        <f>SUM('FPC wSEB'!D90:D101)</f>
        <v>7424984</v>
      </c>
      <c r="E14" s="92">
        <f>SUM('FPC wSEB'!E90:E101)</f>
        <v>3895217</v>
      </c>
      <c r="F14" s="92">
        <f>SUM('FPC wSEB'!F90:F101)</f>
        <v>2715541</v>
      </c>
      <c r="G14" s="92">
        <f>SUM('FPC wSEB'!G90:G101)</f>
        <v>1270064</v>
      </c>
      <c r="H14" s="92">
        <f>SUM('FPC wSEB'!H90:H101)</f>
        <v>1445477</v>
      </c>
      <c r="I14" s="92">
        <f>SUM('FPC wSEB'!I90:I101)</f>
        <v>18805</v>
      </c>
      <c r="J14" s="92">
        <f>SUM('FPC wSEB'!J90:J101)</f>
        <v>1076072</v>
      </c>
      <c r="K14" s="92">
        <f>SUM('FPC wSEB'!K90:K101)</f>
        <v>2164352</v>
      </c>
      <c r="L14" s="92">
        <f>SUM('FPC wSEB'!L90:L101)</f>
        <v>1465842</v>
      </c>
      <c r="M14" s="92">
        <f>SUM('FPC wSEB'!M90:M101)</f>
        <v>11085010</v>
      </c>
      <c r="N14" s="92">
        <f>SUM('FPC wSEB'!N90:N101)</f>
        <v>-16159</v>
      </c>
      <c r="O14" s="92">
        <f>SUM('FPC wSEB'!O90:O101)</f>
        <v>18744654</v>
      </c>
      <c r="P14" s="92">
        <f>SUM('FPC wSEB'!P90:P101)</f>
        <v>196912</v>
      </c>
      <c r="Q14" s="92">
        <f>SUM('FPC wSEB'!Q90:Q101)</f>
        <v>1156290</v>
      </c>
      <c r="R14" s="92">
        <f>SUM('FPC wSEB'!R90:R101)</f>
        <v>20097856</v>
      </c>
      <c r="S14" s="94">
        <f t="shared" si="5"/>
        <v>5.7533002525244487E-2</v>
      </c>
      <c r="T14" s="4"/>
      <c r="U14" s="77">
        <f t="shared" ref="U14:U45" si="7">(U13+1)</f>
        <v>1982</v>
      </c>
      <c r="W14" s="93">
        <f>AVERAGE('FPC wSEB'!W90:W101)</f>
        <v>829826.41666666663</v>
      </c>
      <c r="X14" s="93">
        <f>AVERAGE('FPC wSEB'!X90:X101)</f>
        <v>745155.08333333337</v>
      </c>
      <c r="Y14" s="93">
        <f>AVERAGE('FPC wSEB'!Y90:Y101)</f>
        <v>76226.416666666672</v>
      </c>
      <c r="Z14" s="93">
        <f>AVERAGE('FPC wSEB'!Z90:Z101)</f>
        <v>2335.8333333333335</v>
      </c>
      <c r="AA14" s="93">
        <f>AVERAGE('FPC wSEB'!AA90:AA101)</f>
        <v>1396.9166666666667</v>
      </c>
      <c r="AB14" s="93">
        <f>AVERAGE('FPC wSEB'!AB90:AB101)</f>
        <v>4572.25</v>
      </c>
      <c r="AC14" s="93">
        <f>AVERAGE('FPC wSEB'!AC90:AC101)</f>
        <v>108.16666666666667</v>
      </c>
      <c r="AD14" s="93">
        <f>AVERAGE('FPC wSEB'!AD90:AD101)</f>
        <v>31.75</v>
      </c>
      <c r="AE14" s="96">
        <f>AVERAGE('FPC wSEB'!AE90:AE101)</f>
        <v>139.91666666666666</v>
      </c>
      <c r="AF14" s="92">
        <f t="shared" si="1"/>
        <v>829686.5</v>
      </c>
      <c r="AG14" s="92">
        <f t="shared" si="4"/>
        <v>27038.750000000116</v>
      </c>
      <c r="AH14" s="78"/>
    </row>
    <row r="15" spans="1:35">
      <c r="A15" s="88">
        <f t="shared" si="6"/>
        <v>1983</v>
      </c>
      <c r="B15" s="92">
        <f t="shared" si="0"/>
        <v>15972022</v>
      </c>
      <c r="C15" s="92">
        <f>SUMIF('FPC wSEB'!A$6:A$413,$A15,'FPC wSEB'!C$6:C$413)</f>
        <v>19820166</v>
      </c>
      <c r="D15" s="92">
        <f>SUM('FPC wSEB'!D102:D113)</f>
        <v>8009520</v>
      </c>
      <c r="E15" s="92">
        <f>SUM('FPC wSEB'!E102:E113)</f>
        <v>4118602</v>
      </c>
      <c r="F15" s="92">
        <f>SUM('FPC wSEB'!F102:F113)</f>
        <v>2701022</v>
      </c>
      <c r="G15" s="92">
        <f>SUM('FPC wSEB'!G102:G113)</f>
        <v>1180997</v>
      </c>
      <c r="H15" s="92">
        <f>SUM('FPC wSEB'!H102:H113)</f>
        <v>1520025</v>
      </c>
      <c r="I15" s="92">
        <f>SUM('FPC wSEB'!I102:I113)</f>
        <v>16358</v>
      </c>
      <c r="J15" s="92">
        <f>SUM('FPC wSEB'!J102:J113)</f>
        <v>1126520</v>
      </c>
      <c r="K15" s="92">
        <f>SUM('FPC wSEB'!K102:K113)</f>
        <v>2334380</v>
      </c>
      <c r="L15" s="92">
        <f>SUM('FPC wSEB'!L102:L113)</f>
        <v>1513764</v>
      </c>
      <c r="M15" s="92">
        <f>SUM('FPC wSEB'!M102:M113)</f>
        <v>12197477</v>
      </c>
      <c r="N15" s="92">
        <f>SUM('FPC wSEB'!N102:N113)</f>
        <v>182493</v>
      </c>
      <c r="O15" s="92">
        <f>SUM('FPC wSEB'!O102:O113)</f>
        <v>20002659</v>
      </c>
      <c r="P15" s="92">
        <f>SUM('FPC wSEB'!P102:P113)</f>
        <v>177026</v>
      </c>
      <c r="Q15" s="92">
        <f>SUM('FPC wSEB'!Q102:Q113)</f>
        <v>1552751</v>
      </c>
      <c r="R15" s="92">
        <f>SUM('FPC wSEB'!R102:R113)</f>
        <v>21732436</v>
      </c>
      <c r="S15" s="94">
        <f t="shared" si="5"/>
        <v>7.1448548151712032E-2</v>
      </c>
      <c r="T15" s="4"/>
      <c r="U15" s="77">
        <f t="shared" si="7"/>
        <v>1983</v>
      </c>
      <c r="W15" s="93">
        <f>AVERAGE('FPC wSEB'!W102:W113)</f>
        <v>861547.66666666663</v>
      </c>
      <c r="X15" s="93">
        <f>AVERAGE('FPC wSEB'!X102:X113)</f>
        <v>771046.83333333337</v>
      </c>
      <c r="Y15" s="93">
        <f>AVERAGE('FPC wSEB'!Y102:Y113)</f>
        <v>81249.25</v>
      </c>
      <c r="Z15" s="93">
        <f>AVERAGE('FPC wSEB'!Z102:Z113)</f>
        <v>2408.5</v>
      </c>
      <c r="AA15" s="93">
        <f>AVERAGE('FPC wSEB'!AA102:AA113)</f>
        <v>1393</v>
      </c>
      <c r="AB15" s="93">
        <f>AVERAGE('FPC wSEB'!AB102:AB113)</f>
        <v>5319.333333333333</v>
      </c>
      <c r="AC15" s="93">
        <f>AVERAGE('FPC wSEB'!AC102:AC113)</f>
        <v>107.08333333333333</v>
      </c>
      <c r="AD15" s="93">
        <f>AVERAGE('FPC wSEB'!AD102:AD113)</f>
        <v>23.666666666666668</v>
      </c>
      <c r="AE15" s="96">
        <f>AVERAGE('FPC wSEB'!AE102:AE113)</f>
        <v>130.75</v>
      </c>
      <c r="AF15" s="92">
        <f t="shared" si="1"/>
        <v>861416.91666666674</v>
      </c>
      <c r="AG15" s="92">
        <f t="shared" si="4"/>
        <v>31730.416666666744</v>
      </c>
      <c r="AH15" s="78"/>
    </row>
    <row r="16" spans="1:35">
      <c r="A16" s="88">
        <f t="shared" si="6"/>
        <v>1984</v>
      </c>
      <c r="B16" s="92">
        <f t="shared" si="0"/>
        <v>17279048</v>
      </c>
      <c r="C16" s="92">
        <f>SUMIF('FPC wSEB'!A$6:A$413,$A16,'FPC wSEB'!C$6:C$413)</f>
        <v>19393145</v>
      </c>
      <c r="D16" s="92">
        <f>SUM('FPC wSEB'!D114:D125)</f>
        <v>8553596</v>
      </c>
      <c r="E16" s="92">
        <f>SUM('FPC wSEB'!E114:E125)</f>
        <v>4547724</v>
      </c>
      <c r="F16" s="92">
        <f>SUM('FPC wSEB'!F114:F125)</f>
        <v>2988985</v>
      </c>
      <c r="G16" s="92">
        <f>SUM('FPC wSEB'!G114:G125)</f>
        <v>1331550</v>
      </c>
      <c r="H16" s="92">
        <f>SUM('FPC wSEB'!H114:H125)</f>
        <v>1657435</v>
      </c>
      <c r="I16" s="92">
        <f>SUM('FPC wSEB'!I114:I125)</f>
        <v>16218</v>
      </c>
      <c r="J16" s="92">
        <f>SUM('FPC wSEB'!J114:J125)</f>
        <v>1172525</v>
      </c>
      <c r="K16" s="92">
        <f>SUM('FPC wSEB'!K114:K125)</f>
        <v>506561</v>
      </c>
      <c r="L16" s="92">
        <f>SUM('FPC wSEB'!L114:L125)</f>
        <v>1607536</v>
      </c>
      <c r="M16" s="92">
        <f>SUM('FPC wSEB'!M114:M125)</f>
        <v>11639984</v>
      </c>
      <c r="N16" s="92">
        <f>SUM('FPC wSEB'!N114:N125)</f>
        <v>-247352</v>
      </c>
      <c r="O16" s="92">
        <f>SUM('FPC wSEB'!O114:O125)</f>
        <v>19145793</v>
      </c>
      <c r="P16" s="92">
        <f>SUM('FPC wSEB'!P114:P125)</f>
        <v>197680</v>
      </c>
      <c r="Q16" s="92">
        <f>SUM('FPC wSEB'!Q114:Q125)</f>
        <v>1364643</v>
      </c>
      <c r="R16" s="92">
        <f>SUM('FPC wSEB'!R114:R125)</f>
        <v>20708116</v>
      </c>
      <c r="S16" s="94">
        <f t="shared" si="5"/>
        <v>6.5898945128566977E-2</v>
      </c>
      <c r="T16" s="4"/>
      <c r="U16" s="77">
        <f t="shared" si="7"/>
        <v>1984</v>
      </c>
      <c r="W16" s="93">
        <f>AVERAGE('FPC wSEB'!W114:W125)</f>
        <v>900799.16666666663</v>
      </c>
      <c r="X16" s="93">
        <f>AVERAGE('FPC wSEB'!X114:X125)</f>
        <v>804172.16666666663</v>
      </c>
      <c r="Y16" s="93">
        <f>AVERAGE('FPC wSEB'!Y114:Y125)</f>
        <v>86743.666666666672</v>
      </c>
      <c r="Z16" s="93">
        <f>AVERAGE('FPC wSEB'!Z114:Z125)</f>
        <v>2520.9166666666665</v>
      </c>
      <c r="AA16" s="93">
        <f>AVERAGE('FPC wSEB'!AA114:AA125)</f>
        <v>1502.8333333333333</v>
      </c>
      <c r="AB16" s="93">
        <f>AVERAGE('FPC wSEB'!AB114:AB125)</f>
        <v>5813.333333333333</v>
      </c>
      <c r="AC16" s="93">
        <f>AVERAGE('FPC wSEB'!AC114:AC125)</f>
        <v>24.5</v>
      </c>
      <c r="AD16" s="93">
        <f>AVERAGE('FPC wSEB'!AD114:AD125)</f>
        <v>21.75</v>
      </c>
      <c r="AE16" s="96">
        <f>AVERAGE('FPC wSEB'!AE114:AE125)</f>
        <v>46.25</v>
      </c>
      <c r="AF16" s="92">
        <f t="shared" si="1"/>
        <v>900752.91666666663</v>
      </c>
      <c r="AG16" s="92">
        <f t="shared" si="4"/>
        <v>39335.999999999884</v>
      </c>
      <c r="AH16" s="78"/>
    </row>
    <row r="17" spans="1:35">
      <c r="A17" s="88">
        <f t="shared" si="6"/>
        <v>1985</v>
      </c>
      <c r="B17" s="92">
        <f t="shared" si="0"/>
        <v>18715961</v>
      </c>
      <c r="C17" s="92">
        <f>SUMIF('FPC wSEB'!A$6:A$413,$A17,'FPC wSEB'!C$6:C$413)</f>
        <v>20473100</v>
      </c>
      <c r="D17" s="92">
        <f>SUM('FPC wSEB'!D126:D137)</f>
        <v>9175020</v>
      </c>
      <c r="E17" s="92">
        <f>SUM('FPC wSEB'!E126:E137)</f>
        <v>5106574</v>
      </c>
      <c r="F17" s="92">
        <f>SUM('FPC wSEB'!F126:F137)</f>
        <v>3166011</v>
      </c>
      <c r="G17" s="92">
        <f>SUM('FPC wSEB'!G126:G137)</f>
        <v>1343289</v>
      </c>
      <c r="H17" s="92">
        <f>SUM('FPC wSEB'!H126:H137)</f>
        <v>1822722</v>
      </c>
      <c r="I17" s="92">
        <f>SUM('FPC wSEB'!I126:I137)</f>
        <v>17069</v>
      </c>
      <c r="J17" s="92">
        <f>SUM('FPC wSEB'!J126:J137)</f>
        <v>1251287</v>
      </c>
      <c r="K17" s="92">
        <f>SUM('FPC wSEB'!K126:K137)</f>
        <v>19701</v>
      </c>
      <c r="L17" s="92">
        <f>SUM('FPC wSEB'!L126:L137)</f>
        <v>1737438</v>
      </c>
      <c r="M17" s="92">
        <f>SUM('FPC wSEB'!M126:M137)</f>
        <v>12612456</v>
      </c>
      <c r="N17" s="92">
        <f>SUM('FPC wSEB'!N126:N137)</f>
        <v>248063</v>
      </c>
      <c r="O17" s="92">
        <f>SUM('FPC wSEB'!O126:O137)</f>
        <v>20721163</v>
      </c>
      <c r="P17" s="92">
        <f>SUM('FPC wSEB'!P126:P137)</f>
        <v>197860</v>
      </c>
      <c r="Q17" s="92">
        <f>SUM('FPC wSEB'!Q126:Q137)</f>
        <v>1458018</v>
      </c>
      <c r="R17" s="92">
        <f>SUM('FPC wSEB'!R126:R137)</f>
        <v>22377041</v>
      </c>
      <c r="S17" s="94">
        <f t="shared" si="5"/>
        <v>6.5156872170900521E-2</v>
      </c>
      <c r="T17" s="4"/>
      <c r="U17" s="77">
        <f t="shared" si="7"/>
        <v>1985</v>
      </c>
      <c r="W17" s="93">
        <f>AVERAGE('FPC wSEB'!W126:W137)</f>
        <v>940975.5</v>
      </c>
      <c r="X17" s="93">
        <f>AVERAGE('FPC wSEB'!X126:X137)</f>
        <v>838671.58333333337</v>
      </c>
      <c r="Y17" s="93">
        <f>AVERAGE('FPC wSEB'!Y126:Y137)</f>
        <v>91816.583333333328</v>
      </c>
      <c r="Z17" s="93">
        <f>AVERAGE('FPC wSEB'!Z126:Z137)</f>
        <v>2610.6666666666665</v>
      </c>
      <c r="AA17" s="93">
        <f>AVERAGE('FPC wSEB'!AA126:AA137)</f>
        <v>1666.25</v>
      </c>
      <c r="AB17" s="93">
        <f>AVERAGE('FPC wSEB'!AB126:AB137)</f>
        <v>6187.583333333333</v>
      </c>
      <c r="AC17" s="93">
        <f>AVERAGE('FPC wSEB'!AC126:AC137)</f>
        <v>1.75</v>
      </c>
      <c r="AD17" s="93">
        <f>AVERAGE('FPC wSEB'!AD126:AD137)</f>
        <v>21.083333333333332</v>
      </c>
      <c r="AE17" s="96">
        <f>AVERAGE('FPC wSEB'!AE126:AE137)</f>
        <v>22.833333333333332</v>
      </c>
      <c r="AF17" s="92">
        <f t="shared" si="1"/>
        <v>940952.66666666674</v>
      </c>
      <c r="AG17" s="92">
        <f t="shared" si="4"/>
        <v>40199.750000000116</v>
      </c>
      <c r="AH17" s="78"/>
    </row>
    <row r="18" spans="1:35">
      <c r="A18" s="88">
        <f t="shared" si="6"/>
        <v>1986</v>
      </c>
      <c r="B18" s="92">
        <f t="shared" si="0"/>
        <v>19833741</v>
      </c>
      <c r="C18" s="92">
        <f>SUMIF('FPC wSEB'!A$6:A$413,$A18,'FPC wSEB'!C$6:C$413)</f>
        <v>21241279</v>
      </c>
      <c r="D18" s="92">
        <f>SUM('FPC wSEB'!D138:D149)</f>
        <v>9819175</v>
      </c>
      <c r="E18" s="92">
        <f>SUM('FPC wSEB'!E138:E149)</f>
        <v>5573024</v>
      </c>
      <c r="F18" s="92">
        <f>SUM('FPC wSEB'!F138:F149)</f>
        <v>3122308</v>
      </c>
      <c r="G18" s="92">
        <f>SUM('FPC wSEB'!G138:G149)</f>
        <v>1096413</v>
      </c>
      <c r="H18" s="92">
        <f>SUM('FPC wSEB'!H138:H149)</f>
        <v>2025895</v>
      </c>
      <c r="I18" s="92">
        <f>SUM('FPC wSEB'!I138:I149)</f>
        <v>18076</v>
      </c>
      <c r="J18" s="92">
        <f>SUM('FPC wSEB'!J138:J149)</f>
        <v>1301158</v>
      </c>
      <c r="K18" s="92">
        <f>SUM('FPC wSEB'!K138:K149)</f>
        <v>15620</v>
      </c>
      <c r="L18" s="92">
        <f>SUM('FPC wSEB'!L138:L149)</f>
        <v>1391918</v>
      </c>
      <c r="M18" s="92">
        <f>SUM('FPC wSEB'!M138:M149)</f>
        <v>13822910</v>
      </c>
      <c r="N18" s="92">
        <f>SUM('FPC wSEB'!N138:N149)</f>
        <v>-117300</v>
      </c>
      <c r="O18" s="92">
        <f>SUM('FPC wSEB'!O138:O149)</f>
        <v>21123979</v>
      </c>
      <c r="P18" s="92">
        <f>SUM('FPC wSEB'!P138:P149)</f>
        <v>188734</v>
      </c>
      <c r="Q18" s="92">
        <f>SUM('FPC wSEB'!Q138:Q149)</f>
        <v>1372508</v>
      </c>
      <c r="R18" s="92">
        <f>SUM('FPC wSEB'!R138:R149)</f>
        <v>22685221</v>
      </c>
      <c r="S18" s="94">
        <f t="shared" si="5"/>
        <v>6.0502297949841438E-2</v>
      </c>
      <c r="T18" s="4"/>
      <c r="U18" s="77">
        <f t="shared" si="7"/>
        <v>1986</v>
      </c>
      <c r="W18" s="93">
        <f>AVERAGE('FPC wSEB'!W138:W149)</f>
        <v>980426.5</v>
      </c>
      <c r="X18" s="93">
        <f>AVERAGE('FPC wSEB'!X138:X149)</f>
        <v>872440.66666666663</v>
      </c>
      <c r="Y18" s="93">
        <f>AVERAGE('FPC wSEB'!Y138:Y149)</f>
        <v>96842.583333333328</v>
      </c>
      <c r="Z18" s="93">
        <f>AVERAGE('FPC wSEB'!Z138:Z149)</f>
        <v>2705.0833333333335</v>
      </c>
      <c r="AA18" s="93">
        <f>AVERAGE('FPC wSEB'!AA138:AA149)</f>
        <v>1821.6666666666667</v>
      </c>
      <c r="AB18" s="93">
        <f>AVERAGE('FPC wSEB'!AB138:AB149)</f>
        <v>6599.083333333333</v>
      </c>
      <c r="AC18" s="93">
        <f>AVERAGE('FPC wSEB'!AC138:AC149)</f>
        <v>2</v>
      </c>
      <c r="AD18" s="93">
        <f>AVERAGE('FPC wSEB'!AD138:AD149)</f>
        <v>15.416666666666666</v>
      </c>
      <c r="AE18" s="96">
        <f>AVERAGE('FPC wSEB'!AE138:AE149)</f>
        <v>17.416666666666668</v>
      </c>
      <c r="AF18" s="92">
        <f t="shared" si="1"/>
        <v>980409.08333333337</v>
      </c>
      <c r="AG18" s="92">
        <f t="shared" si="4"/>
        <v>39456.416666666628</v>
      </c>
      <c r="AH18" s="78"/>
    </row>
    <row r="19" spans="1:35">
      <c r="A19" s="88">
        <f t="shared" si="6"/>
        <v>1987</v>
      </c>
      <c r="B19" s="92">
        <f t="shared" si="0"/>
        <v>21039601</v>
      </c>
      <c r="C19" s="92">
        <f>SUMIF('FPC wSEB'!A$6:A$413,$A19,'FPC wSEB'!C$6:C$413)</f>
        <v>22480490</v>
      </c>
      <c r="D19" s="92">
        <f>SUM('FPC wSEB'!D150:D161)</f>
        <v>10318852</v>
      </c>
      <c r="E19" s="92">
        <f>SUM('FPC wSEB'!E150:E161)</f>
        <v>6016378</v>
      </c>
      <c r="F19" s="92">
        <f>SUM('FPC wSEB'!F150:F161)</f>
        <v>3349365</v>
      </c>
      <c r="G19" s="92">
        <f>SUM('FPC wSEB'!G150:G161)</f>
        <v>1211775</v>
      </c>
      <c r="H19" s="92">
        <f>SUM('FPC wSEB'!H150:H161)</f>
        <v>2137590</v>
      </c>
      <c r="I19" s="92">
        <f>SUM('FPC wSEB'!I150:I161)</f>
        <v>19105</v>
      </c>
      <c r="J19" s="92">
        <f>SUM('FPC wSEB'!J150:J161)</f>
        <v>1335901</v>
      </c>
      <c r="K19" s="92">
        <f>SUM('FPC wSEB'!K150:K161)</f>
        <v>48343</v>
      </c>
      <c r="L19" s="92">
        <f>SUM('FPC wSEB'!L150:L161)</f>
        <v>1392546</v>
      </c>
      <c r="M19" s="92">
        <f>SUM('FPC wSEB'!M150:M161)</f>
        <v>14822958</v>
      </c>
      <c r="N19" s="92">
        <f>SUM('FPC wSEB'!N150:N161)</f>
        <v>132805</v>
      </c>
      <c r="O19" s="92">
        <f>SUM('FPC wSEB'!O150:O161)</f>
        <v>22613295</v>
      </c>
      <c r="P19" s="92">
        <f>SUM('FPC wSEB'!P150:P161)</f>
        <v>178443</v>
      </c>
      <c r="Q19" s="92">
        <f>SUM('FPC wSEB'!Q150:Q161)</f>
        <v>1500220</v>
      </c>
      <c r="R19" s="92">
        <f>SUM('FPC wSEB'!R150:R161)</f>
        <v>24291958</v>
      </c>
      <c r="S19" s="94">
        <f t="shared" si="5"/>
        <v>6.1757887116386419E-2</v>
      </c>
      <c r="T19" s="4"/>
      <c r="U19" s="77">
        <f t="shared" si="7"/>
        <v>1987</v>
      </c>
      <c r="W19" s="93">
        <f>AVERAGE('FPC wSEB'!W150:W161)</f>
        <v>1022530.6666666666</v>
      </c>
      <c r="X19" s="93">
        <f>AVERAGE('FPC wSEB'!X150:X161)</f>
        <v>908079.83333333337</v>
      </c>
      <c r="Y19" s="93">
        <f>AVERAGE('FPC wSEB'!Y150:Y161)</f>
        <v>102525.33333333333</v>
      </c>
      <c r="Z19" s="93">
        <f>AVERAGE('FPC wSEB'!Z150:Z161)</f>
        <v>2876.6666666666665</v>
      </c>
      <c r="AA19" s="93">
        <f>AVERAGE('FPC wSEB'!AA150:AA161)</f>
        <v>1935.0833333333333</v>
      </c>
      <c r="AB19" s="93">
        <f>AVERAGE('FPC wSEB'!AB150:AB161)</f>
        <v>7096.416666666667</v>
      </c>
      <c r="AC19" s="93">
        <f>AVERAGE('FPC wSEB'!AC150:AC161)</f>
        <v>2</v>
      </c>
      <c r="AD19" s="93">
        <f>AVERAGE('FPC wSEB'!AD150:AD161)</f>
        <v>15.333333333333334</v>
      </c>
      <c r="AE19" s="96">
        <f>AVERAGE('FPC wSEB'!AE150:AE161)</f>
        <v>17.333333333333332</v>
      </c>
      <c r="AF19" s="92">
        <f t="shared" si="1"/>
        <v>1022513.3333333334</v>
      </c>
      <c r="AG19" s="92">
        <f t="shared" si="4"/>
        <v>42104.25</v>
      </c>
      <c r="AH19" s="78"/>
    </row>
    <row r="20" spans="1:35">
      <c r="A20" s="88">
        <f t="shared" si="6"/>
        <v>1988</v>
      </c>
      <c r="B20" s="92">
        <f t="shared" si="0"/>
        <v>22691660</v>
      </c>
      <c r="C20" s="92">
        <f>SUMIF('FPC wSEB'!A$6:A$413,$A20,'FPC wSEB'!C$6:C$413)</f>
        <v>24124052</v>
      </c>
      <c r="D20" s="92">
        <f>SUM('FPC wSEB'!D162:D173)</f>
        <v>11065591</v>
      </c>
      <c r="E20" s="92">
        <f>SUM('FPC wSEB'!E162:E173)</f>
        <v>6479391</v>
      </c>
      <c r="F20" s="92">
        <f>SUM('FPC wSEB'!F162:F173)</f>
        <v>3680618</v>
      </c>
      <c r="G20" s="92">
        <f>SUM('FPC wSEB'!G162:G173)</f>
        <v>1390950</v>
      </c>
      <c r="H20" s="92">
        <f>SUM('FPC wSEB'!H162:H173)</f>
        <v>2289668</v>
      </c>
      <c r="I20" s="92">
        <f>SUM('FPC wSEB'!I162:I173)</f>
        <v>18639</v>
      </c>
      <c r="J20" s="92">
        <f>SUM('FPC wSEB'!J162:J173)</f>
        <v>1447421</v>
      </c>
      <c r="K20" s="92">
        <f>SUM('FPC wSEB'!K162:K173)</f>
        <v>89607</v>
      </c>
      <c r="L20" s="92">
        <f>SUM('FPC wSEB'!L162:L173)</f>
        <v>1342785</v>
      </c>
      <c r="M20" s="92">
        <f>SUM('FPC wSEB'!M162:M173)</f>
        <v>15918304</v>
      </c>
      <c r="N20" s="92">
        <f>SUM('FPC wSEB'!N162:N173)</f>
        <v>39987</v>
      </c>
      <c r="O20" s="92">
        <f>SUM('FPC wSEB'!O162:O173)</f>
        <v>24164039</v>
      </c>
      <c r="P20" s="92">
        <f>SUM('FPC wSEB'!P162:P173)</f>
        <v>175228</v>
      </c>
      <c r="Q20" s="92">
        <f>SUM('FPC wSEB'!Q162:Q173)</f>
        <v>1508688</v>
      </c>
      <c r="R20" s="92">
        <f>SUM('FPC wSEB'!R162:R173)</f>
        <v>25847955</v>
      </c>
      <c r="S20" s="94">
        <f t="shared" si="5"/>
        <v>5.8367789637516779E-2</v>
      </c>
      <c r="T20" s="4"/>
      <c r="U20" s="77">
        <f t="shared" si="7"/>
        <v>1988</v>
      </c>
      <c r="W20" s="93">
        <f>AVERAGE('FPC wSEB'!W162:W173)</f>
        <v>1060970.3333333333</v>
      </c>
      <c r="X20" s="93">
        <f>AVERAGE('FPC wSEB'!X162:X173)</f>
        <v>941438.75</v>
      </c>
      <c r="Y20" s="93">
        <f>AVERAGE('FPC wSEB'!Y162:Y173)</f>
        <v>106898.75</v>
      </c>
      <c r="Z20" s="93">
        <f>AVERAGE('FPC wSEB'!Z162:Z173)</f>
        <v>2942.3333333333335</v>
      </c>
      <c r="AA20" s="93">
        <f>AVERAGE('FPC wSEB'!AA162:AA173)</f>
        <v>2038.4166666666667</v>
      </c>
      <c r="AB20" s="93">
        <f>AVERAGE('FPC wSEB'!AB162:AB173)</f>
        <v>7635.75</v>
      </c>
      <c r="AC20" s="93">
        <f>AVERAGE('FPC wSEB'!AC162:AC173)</f>
        <v>1.9166666666666667</v>
      </c>
      <c r="AD20" s="93">
        <f>AVERAGE('FPC wSEB'!AD162:AD173)</f>
        <v>14.416666666666666</v>
      </c>
      <c r="AE20" s="96">
        <f>AVERAGE('FPC wSEB'!AE162:AE173)</f>
        <v>16.333333333333332</v>
      </c>
      <c r="AF20" s="92">
        <f t="shared" si="1"/>
        <v>1060954</v>
      </c>
      <c r="AG20" s="92">
        <f t="shared" si="4"/>
        <v>38440.666666666628</v>
      </c>
      <c r="AH20" s="78"/>
    </row>
    <row r="21" spans="1:35">
      <c r="A21" s="88">
        <f t="shared" si="6"/>
        <v>1989</v>
      </c>
      <c r="B21" s="92">
        <f t="shared" si="0"/>
        <v>24123296</v>
      </c>
      <c r="C21" s="92">
        <f>SUMIF('FPC wSEB'!A$6:A$413,$A21,'FPC wSEB'!C$6:C$413)</f>
        <v>25652521</v>
      </c>
      <c r="D21" s="92">
        <f>SUM('FPC wSEB'!D174:D185)</f>
        <v>11786858</v>
      </c>
      <c r="E21" s="92">
        <f>SUM('FPC wSEB'!E174:E185)</f>
        <v>6989811</v>
      </c>
      <c r="F21" s="92">
        <f>SUM('FPC wSEB'!F174:F185)</f>
        <v>3766128</v>
      </c>
      <c r="G21" s="92">
        <f>SUM('FPC wSEB'!G174:G185)</f>
        <v>1364534</v>
      </c>
      <c r="H21" s="92">
        <f>SUM('FPC wSEB'!H174:H185)</f>
        <v>2401594</v>
      </c>
      <c r="I21" s="92">
        <f>SUM('FPC wSEB'!I174:I185)</f>
        <v>19681</v>
      </c>
      <c r="J21" s="92">
        <f>SUM('FPC wSEB'!J174:J185)</f>
        <v>1560818</v>
      </c>
      <c r="K21" s="92">
        <f>SUM('FPC wSEB'!K174:K185)</f>
        <v>180108</v>
      </c>
      <c r="L21" s="92">
        <f>SUM('FPC wSEB'!L174:L185)</f>
        <v>1349117</v>
      </c>
      <c r="M21" s="92">
        <f>SUM('FPC wSEB'!M174:M185)</f>
        <v>17121753</v>
      </c>
      <c r="N21" s="92">
        <f>SUM('FPC wSEB'!N174:N185)</f>
        <v>514232</v>
      </c>
      <c r="O21" s="92">
        <f>SUM('FPC wSEB'!O174:O185)</f>
        <v>26166753</v>
      </c>
      <c r="P21" s="92">
        <f>SUM('FPC wSEB'!P174:P185)</f>
        <v>186759</v>
      </c>
      <c r="Q21" s="92">
        <f>SUM('FPC wSEB'!Q174:Q185)</f>
        <v>1493395</v>
      </c>
      <c r="R21" s="92">
        <f>SUM('FPC wSEB'!R174:R185)</f>
        <v>27846907</v>
      </c>
      <c r="S21" s="94">
        <f t="shared" si="5"/>
        <v>5.3628756687412356E-2</v>
      </c>
      <c r="U21" s="77">
        <f t="shared" si="7"/>
        <v>1989</v>
      </c>
      <c r="W21" s="93">
        <f>AVERAGE('FPC wSEB'!W174:W185)</f>
        <v>1101816.8333333333</v>
      </c>
      <c r="X21" s="93">
        <f>AVERAGE('FPC wSEB'!X174:X185)</f>
        <v>977449.08333333337</v>
      </c>
      <c r="Y21" s="93">
        <f>AVERAGE('FPC wSEB'!Y174:Y185)</f>
        <v>111078.5</v>
      </c>
      <c r="Z21" s="93">
        <f>AVERAGE('FPC wSEB'!Z174:Z185)</f>
        <v>3020.5833333333335</v>
      </c>
      <c r="AA21" s="93">
        <f>AVERAGE('FPC wSEB'!AA174:AA185)</f>
        <v>2144.8333333333335</v>
      </c>
      <c r="AB21" s="93">
        <f>AVERAGE('FPC wSEB'!AB174:AB185)</f>
        <v>8108</v>
      </c>
      <c r="AC21" s="93">
        <f>AVERAGE('FPC wSEB'!AC174:AC185)</f>
        <v>2</v>
      </c>
      <c r="AD21" s="93">
        <f>AVERAGE('FPC wSEB'!AD174:AD185)</f>
        <v>13.833333333333334</v>
      </c>
      <c r="AE21" s="96">
        <f>AVERAGE('FPC wSEB'!AE174:AE185)</f>
        <v>15.833333333333334</v>
      </c>
      <c r="AF21" s="92">
        <f t="shared" si="1"/>
        <v>1101801</v>
      </c>
      <c r="AG21" s="92">
        <f t="shared" si="4"/>
        <v>40847</v>
      </c>
      <c r="AH21" s="78"/>
    </row>
    <row r="22" spans="1:35">
      <c r="A22" s="88">
        <f t="shared" si="6"/>
        <v>1990</v>
      </c>
      <c r="B22" s="92">
        <f t="shared" si="0"/>
        <v>24878328</v>
      </c>
      <c r="C22" s="92">
        <f>SUMIF('FPC wSEB'!A$6:A$413,$A22,'FPC wSEB'!C$6:C$413)</f>
        <v>26426312</v>
      </c>
      <c r="D22" s="92">
        <f>SUM('FPC wSEB'!D186:D197)</f>
        <v>12415513</v>
      </c>
      <c r="E22" s="92">
        <f>SUM('FPC wSEB'!E186:E197)</f>
        <v>7328748</v>
      </c>
      <c r="F22" s="92">
        <f>SUM('FPC wSEB'!F186:F197)</f>
        <v>3455708</v>
      </c>
      <c r="G22" s="92">
        <f>SUM('FPC wSEB'!G186:G197)</f>
        <v>1062936</v>
      </c>
      <c r="H22" s="92">
        <f>SUM('FPC wSEB'!H186:H197)</f>
        <v>2392772</v>
      </c>
      <c r="I22" s="92">
        <f>SUM('FPC wSEB'!I186:I197)</f>
        <v>20783</v>
      </c>
      <c r="J22" s="92">
        <f>SUM('FPC wSEB'!J186:J197)</f>
        <v>1657576</v>
      </c>
      <c r="K22" s="92">
        <f>SUM('FPC wSEB'!K186:K197)</f>
        <v>285137</v>
      </c>
      <c r="L22" s="92">
        <f>SUM('FPC wSEB'!L186:L197)</f>
        <v>1262847</v>
      </c>
      <c r="M22" s="92">
        <f>SUM('FPC wSEB'!M186:M197)</f>
        <v>17797728</v>
      </c>
      <c r="N22" s="92">
        <f>SUM('FPC wSEB'!N186:N197)</f>
        <v>-457838</v>
      </c>
      <c r="O22" s="92">
        <f>SUM('FPC wSEB'!O186:O197)</f>
        <v>25968474</v>
      </c>
      <c r="P22" s="92">
        <f>SUM('FPC wSEB'!P186:P197)</f>
        <v>194017</v>
      </c>
      <c r="Q22" s="92">
        <f>SUM('FPC wSEB'!Q186:Q197)</f>
        <v>1642936</v>
      </c>
      <c r="R22" s="92">
        <f>SUM('FPC wSEB'!R186:R197)</f>
        <v>27805427</v>
      </c>
      <c r="S22" s="94">
        <f t="shared" si="5"/>
        <v>5.9086882571521018E-2</v>
      </c>
      <c r="U22" s="77">
        <f t="shared" si="7"/>
        <v>1990</v>
      </c>
      <c r="W22" s="93">
        <f>AVERAGE('FPC wSEB'!W186:W197)</f>
        <v>1135498.75</v>
      </c>
      <c r="X22" s="93">
        <f>AVERAGE('FPC wSEB'!X186:X197)</f>
        <v>1007805.5</v>
      </c>
      <c r="Y22" s="93">
        <f>AVERAGE('FPC wSEB'!Y186:Y197)</f>
        <v>113595.16666666667</v>
      </c>
      <c r="Z22" s="93">
        <f>AVERAGE('FPC wSEB'!Z186:Z197)</f>
        <v>3114.8333333333335</v>
      </c>
      <c r="AA22" s="93">
        <f>AVERAGE('FPC wSEB'!AA186:AA197)</f>
        <v>2255</v>
      </c>
      <c r="AB22" s="93">
        <f>AVERAGE('FPC wSEB'!AB186:AB197)</f>
        <v>8710.8333333333339</v>
      </c>
      <c r="AC22" s="93">
        <f>AVERAGE('FPC wSEB'!AC186:AC197)</f>
        <v>2</v>
      </c>
      <c r="AD22" s="93">
        <f>AVERAGE('FPC wSEB'!AD186:AD197)</f>
        <v>15.416666666666666</v>
      </c>
      <c r="AE22" s="96">
        <f>AVERAGE('FPC wSEB'!AE186:AE197)</f>
        <v>17.416666666666668</v>
      </c>
      <c r="AF22" s="92">
        <f t="shared" si="1"/>
        <v>1135481.3333333333</v>
      </c>
      <c r="AG22" s="92">
        <f t="shared" si="4"/>
        <v>33680.333333333256</v>
      </c>
      <c r="AH22" s="78"/>
    </row>
    <row r="23" spans="1:35">
      <c r="A23" s="88">
        <f t="shared" si="6"/>
        <v>1991</v>
      </c>
      <c r="B23" s="92">
        <f t="shared" si="0"/>
        <v>25179114</v>
      </c>
      <c r="C23" s="92">
        <f>SUMIF('FPC wSEB'!A$6:A$413,$A23,'FPC wSEB'!C$6:C$413)</f>
        <v>26589945</v>
      </c>
      <c r="D23" s="92">
        <f>SUM('FPC wSEB'!D198:D209)</f>
        <v>12623948</v>
      </c>
      <c r="E23" s="92">
        <f>SUM('FPC wSEB'!E198:E209)</f>
        <v>7489197</v>
      </c>
      <c r="F23" s="92">
        <f>SUM('FPC wSEB'!F198:F209)</f>
        <v>3302967</v>
      </c>
      <c r="G23" s="92">
        <f>SUM('FPC wSEB'!G198:G209)</f>
        <v>960572</v>
      </c>
      <c r="H23" s="92">
        <f>SUM('FPC wSEB'!H198:H209)</f>
        <v>2342395</v>
      </c>
      <c r="I23" s="92">
        <f>SUM('FPC wSEB'!I198:I209)</f>
        <v>23006</v>
      </c>
      <c r="J23" s="92">
        <f>SUM('FPC wSEB'!J198:J209)</f>
        <v>1739996</v>
      </c>
      <c r="K23" s="92">
        <f>SUM('FPC wSEB'!K198:K209)</f>
        <v>263336</v>
      </c>
      <c r="L23" s="92">
        <f>SUM('FPC wSEB'!L198:L209)</f>
        <v>1147495</v>
      </c>
      <c r="M23" s="92">
        <f>SUM('FPC wSEB'!M198:M209)</f>
        <v>17567354</v>
      </c>
      <c r="N23" s="92">
        <f>SUM('FPC wSEB'!N198:N209)</f>
        <v>32136</v>
      </c>
      <c r="O23" s="92">
        <f>SUM('FPC wSEB'!O198:O209)</f>
        <v>26622081</v>
      </c>
      <c r="P23" s="92">
        <f>SUM('FPC wSEB'!P198:P209)</f>
        <v>183972</v>
      </c>
      <c r="Q23" s="92">
        <f>SUM('FPC wSEB'!Q198:Q209)</f>
        <v>1583129</v>
      </c>
      <c r="R23" s="92">
        <f>SUM('FPC wSEB'!R198:R209)</f>
        <v>28389182</v>
      </c>
      <c r="S23" s="94">
        <f t="shared" si="5"/>
        <v>5.5765220709775999E-2</v>
      </c>
      <c r="U23" s="77">
        <f t="shared" si="7"/>
        <v>1991</v>
      </c>
      <c r="W23" s="93">
        <f>AVERAGE('FPC wSEB'!W198:W209)</f>
        <v>1159237.1666666667</v>
      </c>
      <c r="X23" s="93">
        <f>AVERAGE('FPC wSEB'!X198:X209)</f>
        <v>1029900.9166666666</v>
      </c>
      <c r="Y23" s="93">
        <f>AVERAGE('FPC wSEB'!Y198:Y209)</f>
        <v>114657.33333333333</v>
      </c>
      <c r="Z23" s="93">
        <f>AVERAGE('FPC wSEB'!Z198:Z209)</f>
        <v>3124.0833333333335</v>
      </c>
      <c r="AA23" s="93">
        <f>AVERAGE('FPC wSEB'!AA198:AA209)</f>
        <v>2344.1666666666665</v>
      </c>
      <c r="AB23" s="93">
        <f>AVERAGE('FPC wSEB'!AB198:AB209)</f>
        <v>9194</v>
      </c>
      <c r="AC23" s="93">
        <f>AVERAGE('FPC wSEB'!AC198:AC209)</f>
        <v>2</v>
      </c>
      <c r="AD23" s="93">
        <f>AVERAGE('FPC wSEB'!AD198:AD209)</f>
        <v>14.666666666666666</v>
      </c>
      <c r="AE23" s="96">
        <f>AVERAGE('FPC wSEB'!AE198:AE209)</f>
        <v>16.666666666666668</v>
      </c>
      <c r="AF23" s="92">
        <f t="shared" si="1"/>
        <v>1159220.5</v>
      </c>
      <c r="AG23" s="92">
        <f t="shared" si="4"/>
        <v>23739.166666666744</v>
      </c>
      <c r="AH23" s="78"/>
    </row>
    <row r="24" spans="1:35">
      <c r="A24" s="88">
        <f t="shared" si="6"/>
        <v>1992</v>
      </c>
      <c r="B24" s="92">
        <f t="shared" si="0"/>
        <v>25414014</v>
      </c>
      <c r="C24" s="92">
        <f>SUMIF('FPC wSEB'!A$6:A$413,$A24,'FPC wSEB'!C$6:C$413)</f>
        <v>26884691</v>
      </c>
      <c r="D24" s="92">
        <f>SUM('FPC wSEB'!D210:D221)</f>
        <v>12825813</v>
      </c>
      <c r="E24" s="92">
        <f>SUM('FPC wSEB'!E210:E221)</f>
        <v>7544084</v>
      </c>
      <c r="F24" s="92">
        <f>SUM('FPC wSEB'!F210:F221)</f>
        <v>3254466</v>
      </c>
      <c r="G24" s="92">
        <f>SUM('FPC wSEB'!G210:G221)</f>
        <v>894795</v>
      </c>
      <c r="H24" s="92">
        <f>SUM('FPC wSEB'!H210:H221)</f>
        <v>2359671</v>
      </c>
      <c r="I24" s="92">
        <f>SUM('FPC wSEB'!I210:I221)</f>
        <v>24220</v>
      </c>
      <c r="J24" s="92">
        <f>SUM('FPC wSEB'!J210:J221)</f>
        <v>1765431</v>
      </c>
      <c r="K24" s="92">
        <f>SUM('FPC wSEB'!K210:K221)</f>
        <v>345195</v>
      </c>
      <c r="L24" s="92">
        <f>SUM('FPC wSEB'!L210:L221)</f>
        <v>1125482</v>
      </c>
      <c r="M24" s="92">
        <f>SUM('FPC wSEB'!M210:M221)</f>
        <v>18277361</v>
      </c>
      <c r="N24" s="92">
        <f>SUM('FPC wSEB'!N210:N221)</f>
        <v>6583</v>
      </c>
      <c r="O24" s="92">
        <f>SUM('FPC wSEB'!O210:O221)</f>
        <v>26891274</v>
      </c>
      <c r="P24" s="92">
        <f>SUM('FPC wSEB'!P210:P221)</f>
        <v>186549</v>
      </c>
      <c r="Q24" s="92">
        <f>SUM('FPC wSEB'!Q210:Q221)</f>
        <v>1623359</v>
      </c>
      <c r="R24" s="92">
        <f>SUM('FPC wSEB'!R210:R221)</f>
        <v>28701182</v>
      </c>
      <c r="S24" s="94">
        <f t="shared" si="5"/>
        <v>5.6560701925098412E-2</v>
      </c>
      <c r="U24" s="77">
        <f t="shared" si="7"/>
        <v>1992</v>
      </c>
      <c r="W24" s="93">
        <f>AVERAGE('FPC wSEB'!W210:W221)</f>
        <v>1182170.0833333333</v>
      </c>
      <c r="X24" s="93">
        <f>AVERAGE('FPC wSEB'!X210:X221)</f>
        <v>1050076.75</v>
      </c>
      <c r="Y24" s="93">
        <f>AVERAGE('FPC wSEB'!Y210:Y221)</f>
        <v>116726.75</v>
      </c>
      <c r="Z24" s="93">
        <f>AVERAGE('FPC wSEB'!Z210:Z221)</f>
        <v>3136.6666666666665</v>
      </c>
      <c r="AA24" s="93">
        <f>AVERAGE('FPC wSEB'!AA210:AA221)</f>
        <v>2378.3333333333335</v>
      </c>
      <c r="AB24" s="93">
        <f>AVERAGE('FPC wSEB'!AB210:AB221)</f>
        <v>9835.1666666666661</v>
      </c>
      <c r="AC24" s="93">
        <f>AVERAGE('FPC wSEB'!AC210:AC221)</f>
        <v>2</v>
      </c>
      <c r="AD24" s="93">
        <f>AVERAGE('FPC wSEB'!AD210:AD221)</f>
        <v>14.416666666666666</v>
      </c>
      <c r="AE24" s="96">
        <f>AVERAGE('FPC wSEB'!AE210:AE221)</f>
        <v>16.416666666666668</v>
      </c>
      <c r="AF24" s="92">
        <f t="shared" si="1"/>
        <v>1182153.6666666667</v>
      </c>
      <c r="AG24" s="92">
        <f t="shared" si="4"/>
        <v>22933.166666666744</v>
      </c>
      <c r="AH24" s="78"/>
    </row>
    <row r="25" spans="1:35">
      <c r="A25" s="88">
        <f t="shared" si="6"/>
        <v>1993</v>
      </c>
      <c r="B25" s="92">
        <f t="shared" si="0"/>
        <v>26528259</v>
      </c>
      <c r="C25" s="92">
        <f>SUMIF('FPC wSEB'!A$6:A$413,$A25,'FPC wSEB'!C$6:C$413)</f>
        <v>28223128</v>
      </c>
      <c r="D25" s="92">
        <f>SUM('FPC wSEB'!D222:D233)</f>
        <v>13372585</v>
      </c>
      <c r="E25" s="92">
        <f>SUM('FPC wSEB'!E222:E233)</f>
        <v>7884748</v>
      </c>
      <c r="F25" s="92">
        <f>SUM('FPC wSEB'!F222:F233)</f>
        <v>3380799</v>
      </c>
      <c r="G25" s="92">
        <f>SUM('FPC wSEB'!G222:G233)</f>
        <v>879975</v>
      </c>
      <c r="H25" s="92">
        <f>SUM('FPC wSEB'!H222:H233)</f>
        <v>2500824</v>
      </c>
      <c r="I25" s="92">
        <f>SUM('FPC wSEB'!I222:I233)</f>
        <v>25294</v>
      </c>
      <c r="J25" s="92">
        <f>SUM('FPC wSEB'!J222:J233)</f>
        <v>1864833</v>
      </c>
      <c r="K25" s="92">
        <f>SUM('FPC wSEB'!K222:K233)</f>
        <v>437523</v>
      </c>
      <c r="L25" s="92">
        <f>SUM('FPC wSEB'!L222:L233)</f>
        <v>1257346</v>
      </c>
      <c r="M25" s="92">
        <f>SUM('FPC wSEB'!M222:M233)</f>
        <v>19623275</v>
      </c>
      <c r="N25" s="92">
        <f>SUM('FPC wSEB'!N222:N233)</f>
        <v>282120</v>
      </c>
      <c r="O25" s="92">
        <f>SUM('FPC wSEB'!O222:O233)</f>
        <v>28505248</v>
      </c>
      <c r="P25" s="92">
        <f>SUM('FPC wSEB'!P222:P233)</f>
        <v>184593</v>
      </c>
      <c r="Q25" s="92">
        <f>SUM('FPC wSEB'!Q222:Q233)</f>
        <v>1554032</v>
      </c>
      <c r="R25" s="92">
        <f>SUM('FPC wSEB'!R222:R233)</f>
        <v>30243873</v>
      </c>
      <c r="S25" s="94">
        <f t="shared" si="5"/>
        <v>5.1383366144937853E-2</v>
      </c>
      <c r="T25" s="92"/>
      <c r="U25" s="77">
        <f t="shared" si="7"/>
        <v>1993</v>
      </c>
      <c r="W25" s="93">
        <f>AVERAGE('FPC wSEB'!W222:W233)</f>
        <v>1214652.6666666667</v>
      </c>
      <c r="X25" s="93">
        <f>AVERAGE('FPC wSEB'!X222:X233)</f>
        <v>1076656.8333333333</v>
      </c>
      <c r="Y25" s="93">
        <f>AVERAGE('FPC wSEB'!Y222:Y233)</f>
        <v>119811.41666666667</v>
      </c>
      <c r="Z25" s="93">
        <f>AVERAGE('FPC wSEB'!Z222:Z233)</f>
        <v>3107.3333333333335</v>
      </c>
      <c r="AA25" s="93">
        <f>AVERAGE('FPC wSEB'!AA222:AA233)</f>
        <v>2394.0833333333335</v>
      </c>
      <c r="AB25" s="93">
        <f>AVERAGE('FPC wSEB'!AB222:AB233)</f>
        <v>12667</v>
      </c>
      <c r="AC25" s="93">
        <f>AVERAGE('FPC wSEB'!AC222:AC233)</f>
        <v>2</v>
      </c>
      <c r="AD25" s="93">
        <f>AVERAGE('FPC wSEB'!AD222:AD233)</f>
        <v>14</v>
      </c>
      <c r="AE25" s="96">
        <f>AVERAGE('FPC wSEB'!AE222:AE233)</f>
        <v>16</v>
      </c>
      <c r="AF25" s="92">
        <f t="shared" si="1"/>
        <v>1214636.6666666665</v>
      </c>
      <c r="AG25" s="92">
        <f t="shared" si="4"/>
        <v>32482.999999999767</v>
      </c>
      <c r="AH25" s="78"/>
    </row>
    <row r="26" spans="1:35">
      <c r="A26" s="88">
        <f t="shared" si="6"/>
        <v>1994</v>
      </c>
      <c r="B26" s="92">
        <f t="shared" si="0"/>
        <v>27675225</v>
      </c>
      <c r="C26" s="92">
        <f>SUMIF('FPC wSEB'!A$6:A$413,$A26,'FPC wSEB'!C$6:C$413)</f>
        <v>29494170</v>
      </c>
      <c r="D26" s="92">
        <f>SUM('FPC wSEB'!D234:D245)</f>
        <v>13863413</v>
      </c>
      <c r="E26" s="92">
        <f>SUM('FPC wSEB'!E234:E245)</f>
        <v>8252062</v>
      </c>
      <c r="F26" s="92">
        <f>SUM('FPC wSEB'!F234:F245)</f>
        <v>3579598</v>
      </c>
      <c r="G26" s="92">
        <f>SUM('FPC wSEB'!G234:G245)</f>
        <v>1013286</v>
      </c>
      <c r="H26" s="92">
        <f>SUM('FPC wSEB'!H234:H245)</f>
        <v>2566312</v>
      </c>
      <c r="I26" s="92">
        <f>SUM('FPC wSEB'!I234:I245)</f>
        <v>26316</v>
      </c>
      <c r="J26" s="92">
        <f>SUM('FPC wSEB'!J234:J245)</f>
        <v>1953836</v>
      </c>
      <c r="K26" s="92">
        <f>SUM('FPC wSEB'!K234:K245)</f>
        <v>455844</v>
      </c>
      <c r="L26" s="92">
        <f>SUM('FPC wSEB'!L234:L245)</f>
        <v>1363101</v>
      </c>
      <c r="M26" s="92">
        <f>SUM('FPC wSEB'!M234:M245)</f>
        <v>20244692</v>
      </c>
      <c r="N26" s="92">
        <f>SUM('FPC wSEB'!N234:N245)</f>
        <v>-131229</v>
      </c>
      <c r="O26" s="92">
        <f>SUM('FPC wSEB'!O234:O245)</f>
        <v>29362941</v>
      </c>
      <c r="P26" s="92">
        <f>SUM('FPC wSEB'!P234:P245)</f>
        <v>184525</v>
      </c>
      <c r="Q26" s="92">
        <f>SUM('FPC wSEB'!Q234:Q245)</f>
        <v>1626481</v>
      </c>
      <c r="R26" s="92">
        <f>SUM('FPC wSEB'!R234:R245)</f>
        <v>31173947</v>
      </c>
      <c r="S26" s="94">
        <f t="shared" si="5"/>
        <v>5.2174368552047642E-2</v>
      </c>
      <c r="T26" s="92">
        <f>SUM('FPC wSEB'!T234:T245)</f>
        <v>17733301</v>
      </c>
      <c r="U26" s="77">
        <f t="shared" si="7"/>
        <v>1994</v>
      </c>
      <c r="W26" s="93">
        <f>AVERAGE('FPC wSEB'!W234:W245)</f>
        <v>1243891.25</v>
      </c>
      <c r="X26" s="93">
        <f>AVERAGE('FPC wSEB'!X234:X245)</f>
        <v>1100537.3333333333</v>
      </c>
      <c r="Y26" s="93">
        <f>AVERAGE('FPC wSEB'!Y234:Y245)</f>
        <v>122987.25</v>
      </c>
      <c r="Z26" s="93">
        <f>AVERAGE('FPC wSEB'!Z234:Z245)</f>
        <v>3185.6666666666665</v>
      </c>
      <c r="AA26" s="93">
        <f>AVERAGE('FPC wSEB'!AA234:AA245)</f>
        <v>2421.25</v>
      </c>
      <c r="AB26" s="93">
        <f>AVERAGE('FPC wSEB'!AB234:AB245)</f>
        <v>14744.25</v>
      </c>
      <c r="AC26" s="93">
        <f>AVERAGE('FPC wSEB'!AC234:AC245)</f>
        <v>2</v>
      </c>
      <c r="AD26" s="93">
        <f>AVERAGE('FPC wSEB'!AD234:AD245)</f>
        <v>13.5</v>
      </c>
      <c r="AE26" s="96">
        <f>AVERAGE('FPC wSEB'!AE234:AE245)</f>
        <v>15.5</v>
      </c>
      <c r="AF26" s="92">
        <f t="shared" si="1"/>
        <v>1243875.75</v>
      </c>
      <c r="AG26" s="92">
        <f t="shared" si="4"/>
        <v>29239.083333333489</v>
      </c>
      <c r="AH26" s="78"/>
    </row>
    <row r="27" spans="1:35">
      <c r="A27" s="88">
        <f t="shared" si="6"/>
        <v>1995</v>
      </c>
      <c r="B27" s="92">
        <f t="shared" si="0"/>
        <v>29499473</v>
      </c>
      <c r="C27" s="92">
        <f>SUMIF('FPC wSEB'!A$6:A$413,$A27,'FPC wSEB'!C$6:C$413)</f>
        <v>31345895</v>
      </c>
      <c r="D27" s="92">
        <f>SUM('FPC wSEB'!D246:D257)</f>
        <v>14937962</v>
      </c>
      <c r="E27" s="92">
        <f>SUM('FPC wSEB'!E246:E257)</f>
        <v>8612145</v>
      </c>
      <c r="F27" s="92">
        <f>SUM('FPC wSEB'!F246:F257)</f>
        <v>3864419</v>
      </c>
      <c r="G27" s="92">
        <f>SUM('FPC wSEB'!G246:G257)</f>
        <v>1246720</v>
      </c>
      <c r="H27" s="92">
        <f>SUM('FPC wSEB'!H246:H257)</f>
        <v>2617699</v>
      </c>
      <c r="I27" s="92">
        <f>SUM('FPC wSEB'!I246:I257)</f>
        <v>27222</v>
      </c>
      <c r="J27" s="92">
        <f>SUM('FPC wSEB'!J246:J257)</f>
        <v>2057725</v>
      </c>
      <c r="K27" s="92">
        <f>SUM('FPC wSEB'!K246:K257)</f>
        <v>672378</v>
      </c>
      <c r="L27" s="92">
        <f>SUM('FPC wSEB'!L246:L257)</f>
        <v>1174044</v>
      </c>
      <c r="M27" s="92">
        <f>SUM('FPC wSEB'!M246:M257)</f>
        <v>21048589</v>
      </c>
      <c r="N27" s="92">
        <f>SUM('FPC wSEB'!N246:N257)</f>
        <v>356148</v>
      </c>
      <c r="O27" s="92">
        <f>SUM('FPC wSEB'!O246:O257)</f>
        <v>31702043</v>
      </c>
      <c r="P27" s="92">
        <f>SUM('FPC wSEB'!P246:P257)</f>
        <v>152773</v>
      </c>
      <c r="Q27" s="92">
        <f>SUM('FPC wSEB'!Q246:Q257)</f>
        <v>1812048</v>
      </c>
      <c r="R27" s="92">
        <f>SUM('FPC wSEB'!R246:R257)</f>
        <v>33666864</v>
      </c>
      <c r="S27" s="94">
        <f t="shared" si="5"/>
        <v>5.3822892444036367E-2</v>
      </c>
      <c r="T27" s="92">
        <f>SUM('FPC wSEB'!T246:T257)</f>
        <v>18269739</v>
      </c>
      <c r="U27" s="77">
        <f t="shared" si="7"/>
        <v>1995</v>
      </c>
      <c r="W27" s="93">
        <f>AVERAGE('FPC wSEB'!W246:W257)</f>
        <v>1271784.75</v>
      </c>
      <c r="X27" s="93">
        <f>AVERAGE('FPC wSEB'!X246:X257)</f>
        <v>1124678.9166666667</v>
      </c>
      <c r="Y27" s="93">
        <f>AVERAGE('FPC wSEB'!Y246:Y257)</f>
        <v>126188.75</v>
      </c>
      <c r="Z27" s="93">
        <f>AVERAGE('FPC wSEB'!Z246:Z257)</f>
        <v>3143.3333333333335</v>
      </c>
      <c r="AA27" s="93">
        <f>AVERAGE('FPC wSEB'!AA246:AA257)</f>
        <v>2431.6666666666665</v>
      </c>
      <c r="AB27" s="93">
        <f>AVERAGE('FPC wSEB'!AB246:AB257)</f>
        <v>15325.75</v>
      </c>
      <c r="AC27" s="93">
        <f>AVERAGE('FPC wSEB'!AC246:AC257)</f>
        <v>2.0833333333333335</v>
      </c>
      <c r="AD27" s="93">
        <f>AVERAGE('FPC wSEB'!AD246:AD257)</f>
        <v>14.25</v>
      </c>
      <c r="AE27" s="96">
        <f>AVERAGE('FPC wSEB'!AE246:AE257)</f>
        <v>16.333333333333332</v>
      </c>
      <c r="AF27" s="92">
        <f t="shared" si="1"/>
        <v>1271768.4166666667</v>
      </c>
      <c r="AG27" s="92">
        <f t="shared" si="4"/>
        <v>27892.666666666744</v>
      </c>
      <c r="AH27" s="78"/>
    </row>
    <row r="28" spans="1:35">
      <c r="A28" s="88">
        <f t="shared" si="6"/>
        <v>1996</v>
      </c>
      <c r="B28" s="92">
        <f t="shared" si="0"/>
        <v>30784796</v>
      </c>
      <c r="C28" s="92">
        <f>SUMIF('FPC wSEB'!A$6:A$413,$A28,'FPC wSEB'!C$6:C$413)</f>
        <v>32873544</v>
      </c>
      <c r="D28" s="92">
        <f>SUM('FPC wSEB'!D258:D269)</f>
        <v>15481372</v>
      </c>
      <c r="E28" s="92">
        <f>SUM('FPC wSEB'!E258:E269)</f>
        <v>8848017</v>
      </c>
      <c r="F28" s="92">
        <f>SUM('FPC wSEB'!F258:F269)</f>
        <v>4223693</v>
      </c>
      <c r="G28" s="92">
        <f>SUM('FPC wSEB'!G258:G269)</f>
        <v>1511488</v>
      </c>
      <c r="H28" s="92">
        <f>SUM('FPC wSEB'!H258:H269)</f>
        <v>2712205</v>
      </c>
      <c r="I28" s="92">
        <f>SUM('FPC wSEB'!I258:I269)</f>
        <v>26289</v>
      </c>
      <c r="J28" s="92">
        <f>SUM('FPC wSEB'!J258:J269)</f>
        <v>2205425</v>
      </c>
      <c r="K28" s="92">
        <f>SUM('FPC wSEB'!K258:K269)</f>
        <v>813948</v>
      </c>
      <c r="L28" s="92">
        <f>SUM('FPC wSEB'!L258:L269)</f>
        <v>1274800</v>
      </c>
      <c r="M28" s="92">
        <f>SUM('FPC wSEB'!M258:M269)</f>
        <v>22336830</v>
      </c>
      <c r="N28" s="92">
        <f>SUM('FPC wSEB'!N258:N269)</f>
        <v>-223820</v>
      </c>
      <c r="O28" s="92">
        <f>SUM('FPC wSEB'!O258:O269)</f>
        <v>32649724</v>
      </c>
      <c r="P28" s="92">
        <f>SUM('FPC wSEB'!P258:P269)</f>
        <v>165345</v>
      </c>
      <c r="Q28" s="92">
        <f>SUM('FPC wSEB'!Q258:Q269)</f>
        <v>1900385</v>
      </c>
      <c r="R28" s="92">
        <f>SUM('FPC wSEB'!R258:R269)</f>
        <v>34715454</v>
      </c>
      <c r="S28" s="94">
        <f t="shared" si="5"/>
        <v>5.4741758526332396E-2</v>
      </c>
      <c r="T28" s="92">
        <f>SUM('FPC wSEB'!T258:T269)</f>
        <v>19238919</v>
      </c>
      <c r="U28" s="77">
        <f t="shared" si="7"/>
        <v>1996</v>
      </c>
      <c r="W28" s="93">
        <f>AVERAGE('FPC wSEB'!W258:W269)</f>
        <v>1292073.3333333333</v>
      </c>
      <c r="X28" s="93">
        <f>AVERAGE('FPC wSEB'!X258:X269)</f>
        <v>1141671.3333333333</v>
      </c>
      <c r="Y28" s="93">
        <f>AVERAGE('FPC wSEB'!Y258:Y269)</f>
        <v>129440.41666666667</v>
      </c>
      <c r="Z28" s="93">
        <f>AVERAGE('FPC wSEB'!Z258:Z269)</f>
        <v>2927.1666666666665</v>
      </c>
      <c r="AA28" s="93">
        <f>AVERAGE('FPC wSEB'!AA258:AA269)</f>
        <v>2320.5833333333335</v>
      </c>
      <c r="AB28" s="93">
        <f>AVERAGE('FPC wSEB'!AB258:AB269)</f>
        <v>15697.583333333334</v>
      </c>
      <c r="AC28" s="93">
        <f>AVERAGE('FPC wSEB'!AC258:AC269)</f>
        <v>2</v>
      </c>
      <c r="AD28" s="93">
        <f>AVERAGE('FPC wSEB'!AD258:AD269)</f>
        <v>14.25</v>
      </c>
      <c r="AE28" s="96">
        <f>AVERAGE('FPC wSEB'!AE258:AE269)</f>
        <v>16.25</v>
      </c>
      <c r="AF28" s="92">
        <f t="shared" si="1"/>
        <v>1292057.0833333333</v>
      </c>
      <c r="AG28" s="92">
        <f t="shared" si="4"/>
        <v>20288.666666666511</v>
      </c>
      <c r="AH28" s="95">
        <f>[2]FCST!$C488</f>
        <v>1291734</v>
      </c>
    </row>
    <row r="29" spans="1:35">
      <c r="A29" s="88">
        <f t="shared" si="6"/>
        <v>1997</v>
      </c>
      <c r="B29" s="92">
        <f t="shared" si="0"/>
        <v>30850267</v>
      </c>
      <c r="C29" s="92">
        <f>SUMIF('FPC wSEB'!A$6:A$413,$A29,'FPC wSEB'!C$6:C$413)</f>
        <v>32608395</v>
      </c>
      <c r="D29" s="92">
        <f>SUM('FPC wSEB'!D270:D281)</f>
        <v>15079777</v>
      </c>
      <c r="E29" s="92">
        <f>SUM('FPC wSEB'!E270:E281)</f>
        <v>9257316</v>
      </c>
      <c r="F29" s="92">
        <f>SUM('FPC wSEB'!F270:F281)</f>
        <v>4187785</v>
      </c>
      <c r="G29" s="92">
        <f>SUM('FPC wSEB'!G270:G281)</f>
        <v>1385155</v>
      </c>
      <c r="H29" s="92">
        <f>SUM('FPC wSEB'!H270:H281)</f>
        <v>2802630</v>
      </c>
      <c r="I29" s="92">
        <f>SUM('FPC wSEB'!I270:I281)</f>
        <v>26883</v>
      </c>
      <c r="J29" s="92">
        <f>SUM('FPC wSEB'!J270:J281)</f>
        <v>2298506</v>
      </c>
      <c r="K29" s="92">
        <f>SUM('FPC wSEB'!K270:K281)</f>
        <v>722942</v>
      </c>
      <c r="L29" s="92">
        <f>SUM('FPC wSEB'!L270:L281)</f>
        <v>1035186</v>
      </c>
      <c r="M29" s="92">
        <f>SUM('FPC wSEB'!M270:M281)</f>
        <v>21243362</v>
      </c>
      <c r="N29" s="92">
        <f>SUM('FPC wSEB'!N270:N281)</f>
        <v>7102</v>
      </c>
      <c r="O29" s="92">
        <f>SUM('FPC wSEB'!O270:O281)</f>
        <v>32615497</v>
      </c>
      <c r="P29" s="92">
        <f>SUM('FPC wSEB'!P270:P281)</f>
        <v>208825</v>
      </c>
      <c r="Q29" s="92">
        <f>SUM('FPC wSEB'!Q270:Q281)</f>
        <v>1780941</v>
      </c>
      <c r="R29" s="92">
        <f>SUM('FPC wSEB'!R270:R281)</f>
        <v>34605263</v>
      </c>
      <c r="S29" s="94">
        <f t="shared" si="5"/>
        <v>5.1464454987670515E-2</v>
      </c>
      <c r="T29" s="92">
        <f>SUM('FPC wSEB'!T270:T281)</f>
        <v>18697032</v>
      </c>
      <c r="U29" s="77">
        <f t="shared" si="7"/>
        <v>1997</v>
      </c>
      <c r="W29" s="93">
        <f>AVERAGE('FPC wSEB'!W270:W281)</f>
        <v>1314508.3333333333</v>
      </c>
      <c r="X29" s="93">
        <f>AVERAGE('FPC wSEB'!X270:X281)</f>
        <v>1160610.6666666667</v>
      </c>
      <c r="Y29" s="93">
        <f>AVERAGE('FPC wSEB'!Y270:Y281)</f>
        <v>132504.16666666666</v>
      </c>
      <c r="Z29" s="93">
        <f>AVERAGE('FPC wSEB'!Z270:Z281)</f>
        <v>2829.8333333333335</v>
      </c>
      <c r="AA29" s="93">
        <f>AVERAGE('FPC wSEB'!AA270:AA281)</f>
        <v>2215.5833333333335</v>
      </c>
      <c r="AB29" s="93">
        <f>AVERAGE('FPC wSEB'!AB270:AB281)</f>
        <v>16331.416666666666</v>
      </c>
      <c r="AC29" s="93">
        <f>AVERAGE('FPC wSEB'!AC270:AC281)</f>
        <v>2.3333333333333335</v>
      </c>
      <c r="AD29" s="93">
        <f>AVERAGE('FPC wSEB'!AD270:AD281)</f>
        <v>14.333333333333334</v>
      </c>
      <c r="AE29" s="96">
        <f>AVERAGE('FPC wSEB'!AE270:AE281)</f>
        <v>16.666666666666668</v>
      </c>
      <c r="AF29" s="92">
        <f t="shared" si="1"/>
        <v>1314491.6666666667</v>
      </c>
      <c r="AG29" s="92">
        <f t="shared" si="4"/>
        <v>22434.583333333489</v>
      </c>
      <c r="AH29" s="95">
        <f>[2]FCST!$C489</f>
        <v>1315019</v>
      </c>
      <c r="AI29" s="92">
        <f>AH29-AH28</f>
        <v>23285</v>
      </c>
    </row>
    <row r="30" spans="1:35">
      <c r="A30" s="88">
        <f t="shared" si="6"/>
        <v>1998</v>
      </c>
      <c r="B30" s="92">
        <f t="shared" si="0"/>
        <v>33386610</v>
      </c>
      <c r="C30" s="92">
        <f>SUMIF('FPC wSEB'!A$6:A$413,$A30,'FPC wSEB'!C$6:C$413)</f>
        <v>35726324</v>
      </c>
      <c r="D30" s="92">
        <f>SUM('FPC wSEB'!D282:D293)</f>
        <v>16526270</v>
      </c>
      <c r="E30" s="92">
        <f>SUM('FPC wSEB'!E282:E293)</f>
        <v>9999347</v>
      </c>
      <c r="F30" s="92">
        <f>SUM('FPC wSEB'!F282:F293)</f>
        <v>4375389</v>
      </c>
      <c r="G30" s="92">
        <f>SUM('FPC wSEB'!G282:G293)</f>
        <v>1553253</v>
      </c>
      <c r="H30" s="92">
        <f>SUM('FPC wSEB'!H282:H293)</f>
        <v>2822136</v>
      </c>
      <c r="I30" s="92">
        <f>SUM('FPC wSEB'!I282:I293)</f>
        <v>26875</v>
      </c>
      <c r="J30" s="92">
        <f>SUM('FPC wSEB'!J282:J293)</f>
        <v>2458729</v>
      </c>
      <c r="K30" s="92">
        <f>SUM('FPC wSEB'!K282:K293)</f>
        <v>1167557</v>
      </c>
      <c r="L30" s="92">
        <f>SUM('FPC wSEB'!L282:L293)</f>
        <v>1172157</v>
      </c>
      <c r="M30" s="92">
        <f>SUM('FPC wSEB'!M282:M293)</f>
        <v>23806132</v>
      </c>
      <c r="N30" s="92">
        <f>SUM('FPC wSEB'!N282:N293)</f>
        <v>22969</v>
      </c>
      <c r="O30" s="92">
        <f>SUM('FPC wSEB'!O282:O293)</f>
        <v>35749293</v>
      </c>
      <c r="P30" s="92">
        <f>SUM('FPC wSEB'!P282:P293)</f>
        <v>176490</v>
      </c>
      <c r="Q30" s="92">
        <f>SUM('FPC wSEB'!Q282:Q293)</f>
        <v>1837039</v>
      </c>
      <c r="R30" s="92">
        <f>SUM('FPC wSEB'!R282:R293)</f>
        <v>37762822</v>
      </c>
      <c r="S30" s="94">
        <f t="shared" si="5"/>
        <v>4.8646761621787694E-2</v>
      </c>
      <c r="T30" s="92">
        <f>SUM('FPC wSEB'!T282:T293)</f>
        <v>20412585</v>
      </c>
      <c r="U30" s="77">
        <f t="shared" si="7"/>
        <v>1998</v>
      </c>
      <c r="W30" s="93">
        <f>AVERAGE('FPC wSEB'!W282:W293)</f>
        <v>1340852.5</v>
      </c>
      <c r="X30" s="93">
        <f>AVERAGE('FPC wSEB'!X282:X293)</f>
        <v>1182785.8333333333</v>
      </c>
      <c r="Y30" s="93">
        <f>AVERAGE('FPC wSEB'!Y282:Y293)</f>
        <v>136345.33333333334</v>
      </c>
      <c r="Z30" s="93">
        <f>AVERAGE('FPC wSEB'!Z282:Z293)</f>
        <v>2707.1666666666665</v>
      </c>
      <c r="AA30" s="93">
        <f>AVERAGE('FPC wSEB'!AA282:AA293)</f>
        <v>2126.5833333333335</v>
      </c>
      <c r="AB30" s="93">
        <f>AVERAGE('FPC wSEB'!AB282:AB293)</f>
        <v>16870.416666666668</v>
      </c>
      <c r="AC30" s="93">
        <f>AVERAGE('FPC wSEB'!AC282:AC293)</f>
        <v>2.4166666666666665</v>
      </c>
      <c r="AD30" s="93">
        <f>AVERAGE('FPC wSEB'!AD282:AD293)</f>
        <v>14.75</v>
      </c>
      <c r="AE30" s="96">
        <f>AVERAGE('FPC wSEB'!AE282:AE293)</f>
        <v>17.166666666666668</v>
      </c>
      <c r="AF30" s="92">
        <f t="shared" si="1"/>
        <v>1340835.3333333333</v>
      </c>
      <c r="AG30" s="92">
        <f t="shared" si="4"/>
        <v>26343.666666666511</v>
      </c>
      <c r="AH30" s="95">
        <f>[2]FCST!$C490</f>
        <v>1340148</v>
      </c>
      <c r="AI30" s="92">
        <f t="shared" ref="AI30:AI41" si="8">AH30-AH29</f>
        <v>25129</v>
      </c>
    </row>
    <row r="31" spans="1:35">
      <c r="A31" s="88">
        <f t="shared" si="6"/>
        <v>1999</v>
      </c>
      <c r="B31" s="92">
        <f t="shared" si="0"/>
        <v>33441030</v>
      </c>
      <c r="C31" s="92">
        <f>SUMIF('FPC wSEB'!A$6:A$413,$A31,'FPC wSEB'!C$6:C$413)</f>
        <v>36707736</v>
      </c>
      <c r="D31" s="92">
        <f>SUM('FPC wSEB'!D294:D305)</f>
        <v>16244772</v>
      </c>
      <c r="E31" s="92">
        <f>SUM('FPC wSEB'!E294:E305)</f>
        <v>10326848</v>
      </c>
      <c r="F31" s="92">
        <f>SUM('FPC wSEB'!F294:F305)</f>
        <v>4333709</v>
      </c>
      <c r="G31" s="92">
        <f>SUM('FPC wSEB'!G294:G305)</f>
        <v>1494134</v>
      </c>
      <c r="H31" s="92">
        <f>SUM('FPC wSEB'!H294:H305)</f>
        <v>2839575</v>
      </c>
      <c r="I31" s="92">
        <f>SUM('FPC wSEB'!I294:I305)</f>
        <v>26669</v>
      </c>
      <c r="J31" s="92">
        <f>SUM('FPC wSEB'!J294:J305)</f>
        <v>2509032</v>
      </c>
      <c r="K31" s="92">
        <f>SUM('FPC wSEB'!K294:K305)</f>
        <v>1974489</v>
      </c>
      <c r="L31" s="92">
        <f>SUM('FPC wSEB'!L294:L305)</f>
        <v>1292217</v>
      </c>
      <c r="M31" s="92">
        <f>SUM('FPC wSEB'!M294:M305)</f>
        <v>24829202</v>
      </c>
      <c r="N31" s="92">
        <f>SUM('FPC wSEB'!N294:N305)</f>
        <v>251816</v>
      </c>
      <c r="O31" s="92">
        <f>SUM('FPC wSEB'!O294:O305)</f>
        <v>36959552</v>
      </c>
      <c r="P31" s="92">
        <f>SUM('FPC wSEB'!P294:P305)</f>
        <v>125924</v>
      </c>
      <c r="Q31" s="92">
        <f>SUM('FPC wSEB'!Q294:Q305)</f>
        <v>2074383</v>
      </c>
      <c r="R31" s="92">
        <f>SUM('FPC wSEB'!R294:R305)</f>
        <v>39159859</v>
      </c>
      <c r="S31" s="94">
        <f t="shared" si="5"/>
        <v>5.2972177453447927E-2</v>
      </c>
      <c r="T31" s="92">
        <f>SUM('FPC wSEB'!T294:T305)</f>
        <v>21215069</v>
      </c>
      <c r="U31" s="77">
        <f t="shared" si="7"/>
        <v>1999</v>
      </c>
      <c r="W31" s="93">
        <f>AVERAGE('FPC wSEB'!W294:W305)</f>
        <v>1376597</v>
      </c>
      <c r="X31" s="93">
        <f>AVERAGE('FPC wSEB'!X294:X305)</f>
        <v>1213470.3333333333</v>
      </c>
      <c r="Y31" s="93">
        <f>AVERAGE('FPC wSEB'!Y294:Y305)</f>
        <v>140897.41666666666</v>
      </c>
      <c r="Z31" s="93">
        <f>AVERAGE('FPC wSEB'!Z294:Z305)</f>
        <v>2629.4166666666665</v>
      </c>
      <c r="AA31" s="93">
        <f>AVERAGE('FPC wSEB'!AA294:AA305)</f>
        <v>2079.4166666666665</v>
      </c>
      <c r="AB31" s="93">
        <f>AVERAGE('FPC wSEB'!AB294:AB305)</f>
        <v>17502.75</v>
      </c>
      <c r="AC31" s="93">
        <f>AVERAGE('FPC wSEB'!AC294:AC305)</f>
        <v>3.3333333333333335</v>
      </c>
      <c r="AD31" s="93">
        <f>AVERAGE('FPC wSEB'!AD294:AD305)</f>
        <v>14.333333333333334</v>
      </c>
      <c r="AE31" s="96">
        <f>AVERAGE('FPC wSEB'!AE294:AE305)</f>
        <v>17.666666666666668</v>
      </c>
      <c r="AF31" s="92">
        <f t="shared" si="1"/>
        <v>1376579.3333333335</v>
      </c>
      <c r="AG31" s="92">
        <f t="shared" si="4"/>
        <v>35744.000000000233</v>
      </c>
      <c r="AH31" s="95">
        <f>[2]FCST!$C491</f>
        <v>1371064</v>
      </c>
      <c r="AI31" s="92">
        <f t="shared" si="8"/>
        <v>30916</v>
      </c>
    </row>
    <row r="32" spans="1:35">
      <c r="A32" s="88">
        <f t="shared" si="6"/>
        <v>2000</v>
      </c>
      <c r="B32" s="92">
        <f t="shared" si="0"/>
        <v>34831966</v>
      </c>
      <c r="C32" s="92">
        <f>SUMIF('FPC wSEB'!A$6:A$413,$A32,'FPC wSEB'!C$6:C$413)</f>
        <v>38564001</v>
      </c>
      <c r="D32" s="92">
        <f>SUM('FPC wSEB'!D306:D317)</f>
        <v>17115690</v>
      </c>
      <c r="E32" s="92">
        <f>SUM('FPC wSEB'!E306:E317)</f>
        <v>10813409</v>
      </c>
      <c r="F32" s="92">
        <f>SUM('FPC wSEB'!F306:F317)</f>
        <v>4248717</v>
      </c>
      <c r="G32" s="92">
        <f>SUM('FPC wSEB'!G306:G317)</f>
        <v>1297490</v>
      </c>
      <c r="H32" s="92">
        <f>SUM('FPC wSEB'!H306:H317)</f>
        <v>2951227</v>
      </c>
      <c r="I32" s="92">
        <f>SUM('FPC wSEB'!I306:I317)</f>
        <v>27916</v>
      </c>
      <c r="J32" s="92">
        <f>SUM('FPC wSEB'!J306:J317)</f>
        <v>2626234</v>
      </c>
      <c r="K32" s="92">
        <f>SUM('FPC wSEB'!K306:K317)</f>
        <v>2517816</v>
      </c>
      <c r="L32" s="92">
        <f>SUM('FPC wSEB'!L306:L317)</f>
        <v>1214219</v>
      </c>
      <c r="M32" s="92">
        <f>SUM('FPC wSEB'!M306:M317)</f>
        <v>24794534</v>
      </c>
      <c r="N32" s="92">
        <f>SUM('FPC wSEB'!N306:N317)</f>
        <v>343784</v>
      </c>
      <c r="O32" s="92">
        <f>SUM('FPC wSEB'!O306:O317)</f>
        <v>38907785</v>
      </c>
      <c r="P32" s="92">
        <f>SUM('FPC wSEB'!P306:P317)</f>
        <v>125908</v>
      </c>
      <c r="Q32" s="92">
        <f>SUM('FPC wSEB'!Q306:Q317)</f>
        <v>2208176</v>
      </c>
      <c r="R32" s="92">
        <f>SUM('FPC wSEB'!R306:R317)</f>
        <v>41241869</v>
      </c>
      <c r="S32" s="94">
        <f t="shared" si="5"/>
        <v>5.3542093351782866E-2</v>
      </c>
      <c r="T32" s="92">
        <f>SUM('FPC wSEB'!T306:T317)</f>
        <v>20954554</v>
      </c>
      <c r="U32" s="77">
        <f t="shared" si="7"/>
        <v>2000</v>
      </c>
      <c r="W32" s="93">
        <f>AVERAGE('FPC wSEB'!W306:W317)</f>
        <v>1400299.4166666667</v>
      </c>
      <c r="X32" s="93">
        <f>AVERAGE('FPC wSEB'!X306:X317)</f>
        <v>1234285.9166666667</v>
      </c>
      <c r="Y32" s="93">
        <f>AVERAGE('FPC wSEB'!Y306:Y317)</f>
        <v>143474.83333333334</v>
      </c>
      <c r="Z32" s="93">
        <f>AVERAGE('FPC wSEB'!Z306:Z317)</f>
        <v>2534.75</v>
      </c>
      <c r="AA32" s="93">
        <f>AVERAGE('FPC wSEB'!AA306:AA317)</f>
        <v>2070.1666666666665</v>
      </c>
      <c r="AB32" s="93">
        <f>AVERAGE('FPC wSEB'!AB306:AB317)</f>
        <v>17915.5</v>
      </c>
      <c r="AC32" s="93">
        <f>AVERAGE('FPC wSEB'!AC306:AC317)</f>
        <v>4</v>
      </c>
      <c r="AD32" s="93">
        <f>AVERAGE('FPC wSEB'!AD306:AD317)</f>
        <v>14.25</v>
      </c>
      <c r="AE32" s="96">
        <f>AVERAGE('FPC wSEB'!AE306:AE317)</f>
        <v>18.25</v>
      </c>
      <c r="AF32" s="92">
        <f t="shared" si="1"/>
        <v>1400281.1666666667</v>
      </c>
      <c r="AG32" s="92">
        <f t="shared" si="4"/>
        <v>23701.833333333256</v>
      </c>
      <c r="AH32" s="95">
        <f>[2]FCST!$C492</f>
        <v>1407370</v>
      </c>
      <c r="AI32" s="92">
        <f t="shared" si="8"/>
        <v>36306</v>
      </c>
    </row>
    <row r="33" spans="1:35">
      <c r="A33" s="88">
        <f t="shared" si="6"/>
        <v>2001</v>
      </c>
      <c r="B33" s="92">
        <f t="shared" si="0"/>
        <v>35262909</v>
      </c>
      <c r="C33" s="92">
        <f>SUMIF('FPC wSEB'!A$6:A$413,$A33,'FPC wSEB'!C$6:C$413)</f>
        <v>39102302</v>
      </c>
      <c r="D33" s="92">
        <f>SUM('FPC wSEB'!D318:D329)</f>
        <v>17603735</v>
      </c>
      <c r="E33" s="92">
        <f>SUM('FPC wSEB'!E318:E329)</f>
        <v>11060652</v>
      </c>
      <c r="F33" s="92">
        <f>SUM('FPC wSEB'!F318:F329)</f>
        <v>3872340</v>
      </c>
      <c r="G33" s="92">
        <f>SUM('FPC wSEB'!G318:G329)</f>
        <v>1021967</v>
      </c>
      <c r="H33" s="92">
        <f>SUM('FPC wSEB'!H318:H329)</f>
        <v>2850373</v>
      </c>
      <c r="I33" s="92">
        <f>SUM('FPC wSEB'!I318:I329)</f>
        <v>28139</v>
      </c>
      <c r="J33" s="92">
        <f>SUM('FPC wSEB'!J318:J329)</f>
        <v>2698043</v>
      </c>
      <c r="K33" s="92">
        <f>SUM('FPC wSEB'!K318:K329)</f>
        <v>2461148</v>
      </c>
      <c r="L33" s="92">
        <f>SUM('FPC wSEB'!L318:L329)</f>
        <v>1378245</v>
      </c>
      <c r="M33" s="92">
        <f>SUM('FPC wSEB'!M318:M329)</f>
        <v>23921982</v>
      </c>
      <c r="N33" s="92">
        <f>SUM('FPC wSEB'!N318:N329)</f>
        <v>-511293</v>
      </c>
      <c r="O33" s="92">
        <f>SUM('FPC wSEB'!O318:O329)</f>
        <v>38591009</v>
      </c>
      <c r="P33" s="92">
        <f>SUM('FPC wSEB'!P318:P329)</f>
        <v>140539</v>
      </c>
      <c r="Q33" s="92">
        <f>SUM('FPC wSEB'!Q318:Q329)</f>
        <v>2201020</v>
      </c>
      <c r="R33" s="92">
        <f>SUM('FPC wSEB'!R318:R329)</f>
        <v>40932568</v>
      </c>
      <c r="S33" s="94">
        <f t="shared" si="5"/>
        <v>5.3771852281537774E-2</v>
      </c>
      <c r="T33" s="92">
        <f>SUM('FPC wSEB'!T318:T329)</f>
        <v>20210040</v>
      </c>
      <c r="U33" s="77">
        <f t="shared" si="7"/>
        <v>2001</v>
      </c>
      <c r="W33" s="93">
        <f>AVERAGE('FPC wSEB'!W318:W329)</f>
        <v>1444957.5833333333</v>
      </c>
      <c r="X33" s="93">
        <f>AVERAGE('FPC wSEB'!X318:X329)</f>
        <v>1274671.8333333333</v>
      </c>
      <c r="Y33" s="93">
        <f>AVERAGE('FPC wSEB'!Y318:Y329)</f>
        <v>146982.75</v>
      </c>
      <c r="Z33" s="93">
        <f>AVERAGE('FPC wSEB'!Z318:Z329)</f>
        <v>2551.3333333333335</v>
      </c>
      <c r="AA33" s="93">
        <f>AVERAGE('FPC wSEB'!AA318:AA329)</f>
        <v>2015</v>
      </c>
      <c r="AB33" s="93">
        <f>AVERAGE('FPC wSEB'!AB318:AB329)</f>
        <v>18716.916666666668</v>
      </c>
      <c r="AC33" s="93">
        <f>AVERAGE('FPC wSEB'!AC318:AC329)</f>
        <v>4.333333333333333</v>
      </c>
      <c r="AD33" s="93">
        <f>AVERAGE('FPC wSEB'!AD318:AD329)</f>
        <v>15.416666666666666</v>
      </c>
      <c r="AE33" s="96">
        <f>AVERAGE('FPC wSEB'!AE318:AE329)</f>
        <v>19.75</v>
      </c>
      <c r="AF33" s="92">
        <f t="shared" si="1"/>
        <v>1444937.8333333333</v>
      </c>
      <c r="AG33" s="92">
        <f t="shared" si="4"/>
        <v>44656.666666666511</v>
      </c>
      <c r="AH33" s="95">
        <f>[2]FCST!$C493</f>
        <v>1443294</v>
      </c>
      <c r="AI33" s="92">
        <f t="shared" si="8"/>
        <v>35924</v>
      </c>
    </row>
    <row r="34" spans="1:35">
      <c r="A34" s="88">
        <f t="shared" si="6"/>
        <v>2002</v>
      </c>
      <c r="B34" s="92">
        <f t="shared" si="0"/>
        <v>36859344</v>
      </c>
      <c r="C34" s="92">
        <f>SUMIF('FPC wSEB'!A$6:A$413,$A34,'FPC wSEB'!C$6:C$413)</f>
        <v>40032411</v>
      </c>
      <c r="D34" s="92">
        <f>SUM('FPC wSEB'!D330:D341)</f>
        <v>18753818</v>
      </c>
      <c r="E34" s="92">
        <f>SUM('FPC wSEB'!E330:E341)</f>
        <v>11420082</v>
      </c>
      <c r="F34" s="92">
        <f>SUM('FPC wSEB'!F330:F341)</f>
        <v>3835060</v>
      </c>
      <c r="G34" s="92">
        <f>SUM('FPC wSEB'!G330:G341)</f>
        <v>1001170</v>
      </c>
      <c r="H34" s="92">
        <f>SUM('FPC wSEB'!H330:H341)</f>
        <v>2833890</v>
      </c>
      <c r="I34" s="92">
        <f>SUM('FPC wSEB'!I330:I341)</f>
        <v>28297</v>
      </c>
      <c r="J34" s="92">
        <f>SUM('FPC wSEB'!J330:J341)</f>
        <v>2822087</v>
      </c>
      <c r="K34" s="92">
        <f>SUM('FPC wSEB'!K330:K341)</f>
        <v>999650</v>
      </c>
      <c r="L34" s="92">
        <f>SUM('FPC wSEB'!L330:L341)</f>
        <v>2173417</v>
      </c>
      <c r="M34" s="92">
        <f>SUM('FPC wSEB'!M330:M341)</f>
        <v>23944390</v>
      </c>
      <c r="N34" s="92">
        <f>SUM('FPC wSEB'!N330:N341)</f>
        <v>4650</v>
      </c>
      <c r="O34" s="92">
        <f>SUM('FPC wSEB'!O330:O341)</f>
        <v>40037061</v>
      </c>
      <c r="P34" s="92">
        <f>SUM('FPC wSEB'!P330:P341)</f>
        <v>116427</v>
      </c>
      <c r="Q34" s="92">
        <f>SUM('FPC wSEB'!Q330:Q341)</f>
        <v>2413186</v>
      </c>
      <c r="R34" s="92">
        <f>SUM('FPC wSEB'!R330:R341)</f>
        <v>42566674</v>
      </c>
      <c r="S34" s="94">
        <f t="shared" si="5"/>
        <v>5.6691908792310154E-2</v>
      </c>
      <c r="T34" s="92">
        <f>SUM('FPC wSEB'!T330:T341)</f>
        <v>20929349</v>
      </c>
      <c r="U34" s="77">
        <f t="shared" si="7"/>
        <v>2002</v>
      </c>
      <c r="W34" s="93">
        <f>AVERAGE('FPC wSEB'!W330:W341)</f>
        <v>1475782.5</v>
      </c>
      <c r="X34" s="93">
        <f>AVERAGE('FPC wSEB'!X330:X341)</f>
        <v>1301515.4166666667</v>
      </c>
      <c r="Y34" s="93">
        <f>AVERAGE('FPC wSEB'!Y330:Y341)</f>
        <v>150576.83333333334</v>
      </c>
      <c r="Z34" s="93">
        <f>AVERAGE('FPC wSEB'!Z330:Z341)</f>
        <v>2534.5</v>
      </c>
      <c r="AA34" s="93">
        <f>AVERAGE('FPC wSEB'!AA330:AA341)</f>
        <v>1964.6666666666667</v>
      </c>
      <c r="AB34" s="93">
        <f>AVERAGE('FPC wSEB'!AB330:AB341)</f>
        <v>19169</v>
      </c>
      <c r="AC34" s="93">
        <f>AVERAGE('FPC wSEB'!AC330:AC341)</f>
        <v>4.333333333333333</v>
      </c>
      <c r="AD34" s="93">
        <f>AVERAGE('FPC wSEB'!AD330:AD341)</f>
        <v>17.75</v>
      </c>
      <c r="AE34" s="96">
        <f>AVERAGE('FPC wSEB'!AE330:AE341)</f>
        <v>22.083333333333332</v>
      </c>
      <c r="AF34" s="92">
        <f t="shared" si="1"/>
        <v>1475760.4166666667</v>
      </c>
      <c r="AG34" s="92">
        <f t="shared" si="4"/>
        <v>30822.583333333489</v>
      </c>
      <c r="AH34" s="95">
        <f>[2]FCST!$C494</f>
        <v>1475565</v>
      </c>
      <c r="AI34" s="92">
        <f t="shared" si="8"/>
        <v>32271</v>
      </c>
    </row>
    <row r="35" spans="1:35">
      <c r="A35" s="88">
        <f t="shared" si="6"/>
        <v>2003</v>
      </c>
      <c r="B35" s="92">
        <f t="shared" si="0"/>
        <v>37956701</v>
      </c>
      <c r="C35" s="92">
        <f>SUMIF('FPC wSEB'!A$6:A$413,$A35,'FPC wSEB'!C$6:C$413)</f>
        <v>41316133</v>
      </c>
      <c r="D35" s="92">
        <f>SUM('FPC wSEB'!D342:D353)</f>
        <v>19428942</v>
      </c>
      <c r="E35" s="92">
        <f>SUM('FPC wSEB'!E342:E353)</f>
        <v>11552967</v>
      </c>
      <c r="F35" s="92">
        <f>SUM('FPC wSEB'!F342:F353)</f>
        <v>4000561</v>
      </c>
      <c r="G35" s="92">
        <f>SUM('FPC wSEB'!G342:G353)</f>
        <v>1134003</v>
      </c>
      <c r="H35" s="92">
        <f>SUM('FPC wSEB'!H342:H353)</f>
        <v>2866558</v>
      </c>
      <c r="I35" s="92">
        <f>SUM('FPC wSEB'!I342:I353)</f>
        <v>28627</v>
      </c>
      <c r="J35" s="92">
        <f>SUM('FPC wSEB'!J342:J353)</f>
        <v>2945604</v>
      </c>
      <c r="K35" s="92">
        <f>SUM('FPC wSEB'!K342:K353)</f>
        <v>966308</v>
      </c>
      <c r="L35" s="92">
        <f>SUM('FPC wSEB'!L342:L353)</f>
        <v>2393124</v>
      </c>
      <c r="M35" s="92">
        <f>SUM('FPC wSEB'!M342:M353)</f>
        <v>24499950</v>
      </c>
      <c r="N35" s="92">
        <f>SUM('FPC wSEB'!N342:N353)</f>
        <v>233090</v>
      </c>
      <c r="O35" s="92">
        <f>SUM('FPC wSEB'!O342:O353)</f>
        <v>41549223</v>
      </c>
      <c r="P35" s="92">
        <f>SUM('FPC wSEB'!P342:P353)</f>
        <v>120528</v>
      </c>
      <c r="Q35" s="92">
        <f>SUM('FPC wSEB'!Q342:Q353)</f>
        <v>2241359</v>
      </c>
      <c r="R35" s="92">
        <f>SUM('FPC wSEB'!R342:R353)</f>
        <v>43911110</v>
      </c>
      <c r="S35" s="94">
        <f t="shared" si="5"/>
        <v>5.1043095927203845E-2</v>
      </c>
      <c r="T35" s="92">
        <f>SUM('FPC wSEB'!T342:T353)</f>
        <v>20830411</v>
      </c>
      <c r="U35" s="77">
        <f t="shared" si="7"/>
        <v>2003</v>
      </c>
      <c r="W35" s="93">
        <f>AVERAGE('FPC wSEB'!W342:W353)</f>
        <v>1510516</v>
      </c>
      <c r="X35" s="93">
        <f>AVERAGE('FPC wSEB'!X342:X353)</f>
        <v>1331914</v>
      </c>
      <c r="Y35" s="93">
        <f>AVERAGE('FPC wSEB'!Y342:Y353)</f>
        <v>154293.91666666666</v>
      </c>
      <c r="Z35" s="93">
        <f>AVERAGE('FPC wSEB'!Z342:Z353)</f>
        <v>2643.25</v>
      </c>
      <c r="AA35" s="93">
        <f>AVERAGE('FPC wSEB'!AA342:AA353)</f>
        <v>1917.4166666666667</v>
      </c>
      <c r="AB35" s="93">
        <f>AVERAGE('FPC wSEB'!AB342:AB353)</f>
        <v>19725.583333333332</v>
      </c>
      <c r="AC35" s="93">
        <f>AVERAGE('FPC wSEB'!AC342:AC353)</f>
        <v>4.75</v>
      </c>
      <c r="AD35" s="93">
        <f>AVERAGE('FPC wSEB'!AD342:AD353)</f>
        <v>17.083333333333332</v>
      </c>
      <c r="AE35" s="96">
        <f>AVERAGE('FPC wSEB'!AE342:AE353)</f>
        <v>21.833333333333332</v>
      </c>
      <c r="AF35" s="92">
        <f t="shared" si="1"/>
        <v>1510494.1666666667</v>
      </c>
      <c r="AG35" s="92">
        <f t="shared" si="4"/>
        <v>34733.75</v>
      </c>
      <c r="AH35" s="95">
        <f>[2]FCST!$C495</f>
        <v>1511302</v>
      </c>
      <c r="AI35" s="92">
        <f t="shared" si="8"/>
        <v>35737</v>
      </c>
    </row>
    <row r="36" spans="1:35">
      <c r="A36" s="88">
        <f t="shared" si="6"/>
        <v>2004</v>
      </c>
      <c r="B36" s="92">
        <f t="shared" si="0"/>
        <v>38193103</v>
      </c>
      <c r="C36" s="92">
        <f>SUMIF('FPC wSEB'!A$6:A$413,$A36,'FPC wSEB'!C$6:C$413)</f>
        <v>42494194</v>
      </c>
      <c r="D36" s="92">
        <f>SUM('FPC wSEB'!D354:D365)</f>
        <v>19347268</v>
      </c>
      <c r="E36" s="92">
        <f>SUM('FPC wSEB'!E354:E365)</f>
        <v>11733536</v>
      </c>
      <c r="F36" s="92">
        <f>SUM('FPC wSEB'!F354:F365)</f>
        <v>4068626</v>
      </c>
      <c r="G36" s="92">
        <f>SUM('FPC wSEB'!G354:G365)</f>
        <v>1232566</v>
      </c>
      <c r="H36" s="92">
        <f>SUM('FPC wSEB'!H354:H365)</f>
        <v>2836060</v>
      </c>
      <c r="I36" s="92">
        <f>SUM('FPC wSEB'!I354:I365)</f>
        <v>27927</v>
      </c>
      <c r="J36" s="92">
        <f>SUM('FPC wSEB'!J354:J365)</f>
        <v>3015746</v>
      </c>
      <c r="K36" s="92">
        <f>SUM('FPC wSEB'!K354:K365)</f>
        <v>1090981</v>
      </c>
      <c r="L36" s="92">
        <f>SUM('FPC wSEB'!L354:L365)</f>
        <v>3210110</v>
      </c>
      <c r="M36" s="92">
        <f>SUM('FPC wSEB'!M354:M365)</f>
        <v>26595009</v>
      </c>
      <c r="N36" s="92">
        <f>SUM('FPC wSEB'!N354:N365)</f>
        <v>358601</v>
      </c>
      <c r="O36" s="92">
        <f>SUM('FPC wSEB'!O354:O365)</f>
        <v>42852795</v>
      </c>
      <c r="P36" s="92">
        <f>SUM('FPC wSEB'!P354:P365)</f>
        <v>118827</v>
      </c>
      <c r="Q36" s="92">
        <f>SUM('FPC wSEB'!Q354:Q365)</f>
        <v>2296000</v>
      </c>
      <c r="R36" s="92">
        <f>SUM('FPC wSEB'!R354:R365)</f>
        <v>45267622</v>
      </c>
      <c r="S36" s="94">
        <f t="shared" si="5"/>
        <v>5.0720579048751442E-2</v>
      </c>
      <c r="T36" s="92">
        <f>SUM('FPC wSEB'!T354:T365)</f>
        <v>21781781</v>
      </c>
      <c r="U36" s="77">
        <f t="shared" si="7"/>
        <v>2004</v>
      </c>
      <c r="W36" s="93">
        <f>AVERAGE('FPC wSEB'!W354:W365)</f>
        <v>1548627.25</v>
      </c>
      <c r="X36" s="93">
        <f>AVERAGE('FPC wSEB'!X354:X365)</f>
        <v>1364677</v>
      </c>
      <c r="Y36" s="93">
        <f>AVERAGE('FPC wSEB'!Y354:Y365)</f>
        <v>158780.08333333334</v>
      </c>
      <c r="Z36" s="93">
        <f>AVERAGE('FPC wSEB'!Z354:Z365)</f>
        <v>2732.8333333333335</v>
      </c>
      <c r="AA36" s="93">
        <f>AVERAGE('FPC wSEB'!AA354:AA365)</f>
        <v>1855.75</v>
      </c>
      <c r="AB36" s="93">
        <f>AVERAGE('FPC wSEB'!AB354:AB365)</f>
        <v>20556.833333333332</v>
      </c>
      <c r="AC36" s="93">
        <f>AVERAGE('FPC wSEB'!AC354:AC365)</f>
        <v>5.916666666666667</v>
      </c>
      <c r="AD36" s="93">
        <f>AVERAGE('FPC wSEB'!AD354:AD365)</f>
        <v>18.833333333333332</v>
      </c>
      <c r="AE36" s="96">
        <f>AVERAGE('FPC wSEB'!AE354:AE365)</f>
        <v>24.75</v>
      </c>
      <c r="AF36" s="92">
        <f t="shared" si="1"/>
        <v>1548602.4999999998</v>
      </c>
      <c r="AG36" s="92">
        <f t="shared" si="4"/>
        <v>38108.333333333023</v>
      </c>
      <c r="AH36" s="95">
        <f>[2]FCST!$C496</f>
        <v>1548415</v>
      </c>
      <c r="AI36" s="92">
        <f t="shared" si="8"/>
        <v>37113</v>
      </c>
    </row>
    <row r="37" spans="1:35">
      <c r="A37" s="88">
        <f t="shared" si="6"/>
        <v>2005</v>
      </c>
      <c r="B37" s="92">
        <f t="shared" si="0"/>
        <v>39176588</v>
      </c>
      <c r="C37" s="92">
        <f>SUMIF('FPC wSEB'!A$6:A$413,$A37,'FPC wSEB'!C$6:C$413)</f>
        <v>44371824</v>
      </c>
      <c r="D37" s="92">
        <f>SUM('FPC wSEB'!D366:D377)</f>
        <v>19893534</v>
      </c>
      <c r="E37" s="92">
        <f>SUM('FPC wSEB'!E366:E377)</f>
        <v>11944717</v>
      </c>
      <c r="F37" s="92">
        <f>SUM('FPC wSEB'!F366:F377)</f>
        <v>4139871</v>
      </c>
      <c r="G37" s="92">
        <f>SUM('FPC wSEB'!G366:G377)</f>
        <v>1272348</v>
      </c>
      <c r="H37" s="92">
        <f>SUM('FPC wSEB'!H366:H377)</f>
        <v>2867523</v>
      </c>
      <c r="I37" s="92">
        <f>SUM('FPC wSEB'!I366:I377)</f>
        <v>27389</v>
      </c>
      <c r="J37" s="92">
        <f>SUM('FPC wSEB'!J366:J377)</f>
        <v>3171077</v>
      </c>
      <c r="K37" s="92">
        <f>SUM('FPC wSEB'!K366:K377)</f>
        <v>1628971</v>
      </c>
      <c r="L37" s="92">
        <f>SUM('FPC wSEB'!L366:L377)</f>
        <v>3566265</v>
      </c>
      <c r="M37" s="92">
        <f>SUM('FPC wSEB'!M366:M377)</f>
        <v>28604332</v>
      </c>
      <c r="N37" s="92">
        <f>SUM('FPC wSEB'!N366:N377)</f>
        <v>-204527</v>
      </c>
      <c r="O37" s="92">
        <f>SUM('FPC wSEB'!O366:O377)</f>
        <v>44167297</v>
      </c>
      <c r="P37" s="92">
        <f>SUM('FPC wSEB'!P366:P377)</f>
        <v>141911</v>
      </c>
      <c r="Q37" s="92">
        <f>SUM('FPC wSEB'!Q366:Q377)</f>
        <v>2569060</v>
      </c>
      <c r="R37" s="92">
        <f>SUM('FPC wSEB'!R366:R377)</f>
        <v>46878268</v>
      </c>
      <c r="S37" s="94">
        <f t="shared" si="5"/>
        <v>5.4802792628772037E-2</v>
      </c>
      <c r="T37" s="92">
        <f>SUM('FPC wSEB'!T366:T377)</f>
        <v>23012536</v>
      </c>
      <c r="U37" s="77">
        <f t="shared" si="7"/>
        <v>2005</v>
      </c>
      <c r="W37" s="93">
        <f>AVERAGE('FPC wSEB'!W366:W377)</f>
        <v>1583417</v>
      </c>
      <c r="X37" s="93">
        <f>AVERAGE('FPC wSEB'!X366:X377)</f>
        <v>1397012.3333333333</v>
      </c>
      <c r="Y37" s="93">
        <f>AVERAGE('FPC wSEB'!Y366:Y377)</f>
        <v>161001.16666666666</v>
      </c>
      <c r="Z37" s="93">
        <f>AVERAGE('FPC wSEB'!Z366:Z377)</f>
        <v>2703.1666666666665</v>
      </c>
      <c r="AA37" s="93">
        <f>AVERAGE('FPC wSEB'!AA366:AA377)</f>
        <v>1794.75</v>
      </c>
      <c r="AB37" s="93">
        <f>AVERAGE('FPC wSEB'!AB366:AB377)</f>
        <v>20879.166666666668</v>
      </c>
      <c r="AC37" s="93">
        <f>AVERAGE('FPC wSEB'!AC366:AC377)</f>
        <v>7.416666666666667</v>
      </c>
      <c r="AD37" s="93">
        <f>AVERAGE('FPC wSEB'!AD366:AD377)</f>
        <v>19</v>
      </c>
      <c r="AE37" s="96">
        <f>AVERAGE('FPC wSEB'!AE366:AE377)</f>
        <v>26.416666666666668</v>
      </c>
      <c r="AF37" s="92">
        <f t="shared" si="1"/>
        <v>1583390.5833333335</v>
      </c>
      <c r="AG37" s="92">
        <f>AF37-AF36+7583</f>
        <v>42371.083333333721</v>
      </c>
      <c r="AH37" s="95">
        <f>[2]FCST!$C497</f>
        <v>1577955</v>
      </c>
      <c r="AI37" s="92">
        <f t="shared" si="8"/>
        <v>29540</v>
      </c>
    </row>
    <row r="38" spans="1:35">
      <c r="A38" s="88">
        <f t="shared" si="6"/>
        <v>2006</v>
      </c>
      <c r="B38" s="92">
        <f t="shared" si="0"/>
        <v>39431840</v>
      </c>
      <c r="C38" s="92">
        <f>SUMIF('FPC wSEB'!A$6:A$413,$A38,'FPC wSEB'!C$6:C$413)</f>
        <v>43652017</v>
      </c>
      <c r="D38" s="92">
        <f>SUM('FPC wSEB'!D378:D389)</f>
        <v>20020717</v>
      </c>
      <c r="E38" s="92">
        <f>SUM('FPC wSEB'!E378:E389)</f>
        <v>11975028</v>
      </c>
      <c r="F38" s="92">
        <f>SUM('FPC wSEB'!F378:F389)</f>
        <v>4160023</v>
      </c>
      <c r="G38" s="92">
        <f>SUM('FPC wSEB'!G378:G389)</f>
        <v>1251477</v>
      </c>
      <c r="H38" s="92">
        <f>SUM('FPC wSEB'!H378:H389)</f>
        <v>2908546</v>
      </c>
      <c r="I38" s="92">
        <f>SUM('FPC wSEB'!I378:I389)</f>
        <v>26650</v>
      </c>
      <c r="J38" s="92">
        <f>SUM('FPC wSEB'!J378:J389)</f>
        <v>3249422</v>
      </c>
      <c r="K38" s="92">
        <f>SUM('FPC wSEB'!K378:K389)</f>
        <v>1596001</v>
      </c>
      <c r="L38" s="92">
        <f>SUM('FPC wSEB'!L378:L389)</f>
        <v>2624176</v>
      </c>
      <c r="M38" s="92">
        <f>SUM('FPC wSEB'!M378:M389)</f>
        <v>27841154</v>
      </c>
      <c r="N38" s="92">
        <f>SUM('FPC wSEB'!N378:N389)</f>
        <v>-233451</v>
      </c>
      <c r="O38" s="92">
        <f>SUM('FPC wSEB'!O378:O389)</f>
        <v>43418566</v>
      </c>
      <c r="P38" s="92">
        <f>SUM('FPC wSEB'!P378:P389)</f>
        <v>164779</v>
      </c>
      <c r="Q38" s="92">
        <f>SUM('FPC wSEB'!Q378:Q389)</f>
        <v>2457493</v>
      </c>
      <c r="R38" s="92">
        <f>SUM('FPC wSEB'!R378:R389)</f>
        <v>46040838</v>
      </c>
      <c r="S38" s="94">
        <f t="shared" si="5"/>
        <v>5.3376374252788364E-2</v>
      </c>
      <c r="T38" s="92">
        <f>SUM('FPC wSEB'!T378:T389)</f>
        <v>23428402</v>
      </c>
      <c r="U38" s="77">
        <f t="shared" si="7"/>
        <v>2006</v>
      </c>
      <c r="W38" s="93">
        <f>ROUND(AVERAGE('FPC wSEB'!W378:W389),0)</f>
        <v>1620396</v>
      </c>
      <c r="X38" s="93">
        <f>ROUND(AVERAGE('FPC wSEB'!X378:X389),0)</f>
        <v>1431743</v>
      </c>
      <c r="Y38" s="93">
        <f>ROUND(AVERAGE('FPC wSEB'!Y378:Y389),0)</f>
        <v>162774</v>
      </c>
      <c r="Z38" s="93">
        <f>ROUND(AVERAGE('FPC wSEB'!Z378:Z389),0)</f>
        <v>2697</v>
      </c>
      <c r="AA38" s="93">
        <f>ROUND(AVERAGE('FPC wSEB'!AA378:AA389),0)</f>
        <v>1748</v>
      </c>
      <c r="AB38" s="93">
        <f>ROUND(AVERAGE('FPC wSEB'!AB378:AB389),0)</f>
        <v>21412</v>
      </c>
      <c r="AC38" s="93">
        <f>ROUND(AVERAGE('FPC wSEB'!AC378:AC389),0)</f>
        <v>6</v>
      </c>
      <c r="AD38" s="93">
        <f>ROUND(AVERAGE('FPC wSEB'!AD378:AD389),0)</f>
        <v>17</v>
      </c>
      <c r="AE38" s="96">
        <f>ROUND(AVERAGE('FPC wSEB'!AE378:AE389),0)</f>
        <v>23</v>
      </c>
      <c r="AF38" s="92">
        <f t="shared" si="1"/>
        <v>1620374</v>
      </c>
      <c r="AG38" s="92">
        <f t="shared" ref="AG38:AG43" si="9">AF38-AF37</f>
        <v>36983.416666666511</v>
      </c>
      <c r="AH38" s="95">
        <f>[2]FCST!$C498</f>
        <v>1613420</v>
      </c>
      <c r="AI38" s="92">
        <f t="shared" si="8"/>
        <v>35465</v>
      </c>
    </row>
    <row r="39" spans="1:35">
      <c r="A39" s="88">
        <f t="shared" si="6"/>
        <v>2007</v>
      </c>
      <c r="B39" s="92">
        <f t="shared" si="0"/>
        <v>39281641</v>
      </c>
      <c r="C39" s="92">
        <f>SUMIF('FPC wSEB'!A$6:A$413,$A39,'FPC wSEB'!C$6:C$413)</f>
        <v>44879572</v>
      </c>
      <c r="D39" s="92">
        <f>SUM('FPC wSEB'!D390:D401)</f>
        <v>19911884</v>
      </c>
      <c r="E39" s="92">
        <f>SUM('FPC wSEB'!E390:E401)</f>
        <v>12183638</v>
      </c>
      <c r="F39" s="92">
        <f>SUM('FPC wSEB'!F390:F401)</f>
        <v>3819403</v>
      </c>
      <c r="G39" s="92">
        <f>SUM('FPC wSEB'!G390:G401)</f>
        <v>1086151</v>
      </c>
      <c r="H39" s="92">
        <f>SUM('FPC wSEB'!H390:H401)</f>
        <v>2733252</v>
      </c>
      <c r="I39" s="92">
        <f>SUM('FPC wSEB'!I390:I401)</f>
        <v>26102</v>
      </c>
      <c r="J39" s="92">
        <f>SUM('FPC wSEB'!J390:J401)</f>
        <v>3340614</v>
      </c>
      <c r="K39" s="92">
        <f>SUM('FPC wSEB'!K390:K401)</f>
        <v>2632432</v>
      </c>
      <c r="L39" s="92">
        <f>SUM('FPC wSEB'!L390:L401)</f>
        <v>2965499</v>
      </c>
      <c r="M39" s="92">
        <f>SUM('FPC wSEB'!M390:M401)</f>
        <v>28966858</v>
      </c>
      <c r="N39" s="92">
        <f>SUM('FPC wSEB'!N390:N401)</f>
        <v>88025</v>
      </c>
      <c r="O39" s="92">
        <f>SUM('FPC wSEB'!O390:O401)</f>
        <v>44967597</v>
      </c>
      <c r="P39" s="92">
        <f>SUM('FPC wSEB'!P390:P401)</f>
        <v>149208</v>
      </c>
      <c r="Q39" s="92">
        <f>SUM('FPC wSEB'!Q390:Q401)</f>
        <v>2516271</v>
      </c>
      <c r="R39" s="92">
        <f>SUM('FPC wSEB'!R390:R401)</f>
        <v>47633076</v>
      </c>
      <c r="S39" s="94">
        <f t="shared" si="5"/>
        <v>5.2826128633808991E-2</v>
      </c>
      <c r="T39" s="92">
        <f>SUM('FPC wSEB'!T390:T401)</f>
        <v>23199190</v>
      </c>
      <c r="U39" s="77">
        <f t="shared" si="7"/>
        <v>2007</v>
      </c>
      <c r="W39" s="93">
        <f>ROUND(AVERAGE('FPC wSEB'!W390:W401),0)</f>
        <v>1632368</v>
      </c>
      <c r="X39" s="93">
        <f>ROUND(AVERAGE('FPC wSEB'!X390:X401),0)</f>
        <v>1442853</v>
      </c>
      <c r="Y39" s="93">
        <f>ROUND(AVERAGE('FPC wSEB'!Y390:Y401),0)</f>
        <v>162837</v>
      </c>
      <c r="Z39" s="93">
        <f>ROUND(AVERAGE('FPC wSEB'!Z390:Z401),0)</f>
        <v>2668</v>
      </c>
      <c r="AA39" s="93">
        <f>ROUND(AVERAGE('FPC wSEB'!AA390:AA401),0)</f>
        <v>1692</v>
      </c>
      <c r="AB39" s="93">
        <f>ROUND(AVERAGE('FPC wSEB'!AB390:AB401),0)</f>
        <v>22296</v>
      </c>
      <c r="AC39" s="93">
        <f>ROUND(AVERAGE('FPC wSEB'!AC390:AC401),0)</f>
        <v>5</v>
      </c>
      <c r="AD39" s="93">
        <f>ROUND(AVERAGE('FPC wSEB'!AD390:AD401),0)</f>
        <v>17</v>
      </c>
      <c r="AE39" s="96">
        <f>ROUND(AVERAGE('FPC wSEB'!AE390:AE401),0)</f>
        <v>21</v>
      </c>
      <c r="AF39" s="92">
        <f t="shared" si="1"/>
        <v>1632346</v>
      </c>
      <c r="AG39" s="92">
        <f t="shared" si="9"/>
        <v>11972</v>
      </c>
      <c r="AH39" s="95">
        <f>[2]FCST!$C499</f>
        <v>1636792</v>
      </c>
      <c r="AI39" s="92">
        <f t="shared" si="8"/>
        <v>23372</v>
      </c>
    </row>
    <row r="40" spans="1:35">
      <c r="A40" s="88">
        <f t="shared" si="6"/>
        <v>2008</v>
      </c>
      <c r="B40" s="92">
        <f t="shared" si="0"/>
        <v>38555709</v>
      </c>
      <c r="C40" s="92">
        <f>SUMIF('FPC wSEB'!A$6:A$413,$A40,'FPC wSEB'!C$6:C$413)</f>
        <v>45175183</v>
      </c>
      <c r="D40" s="92">
        <f>SUM('FPC wSEB'!D402:D413)-1</f>
        <v>19328406</v>
      </c>
      <c r="E40" s="92">
        <f>SUM('FPC wSEB'!E402:E413)-1</f>
        <v>12138924</v>
      </c>
      <c r="F40" s="92">
        <f>SUM('FPC wSEB'!F402:F413)</f>
        <v>3786296</v>
      </c>
      <c r="G40" s="92">
        <f>SUM('FPC wSEB'!G402:G413)</f>
        <v>1233503</v>
      </c>
      <c r="H40" s="92">
        <f>SUM('FPC wSEB'!H402:H413)</f>
        <v>2552793</v>
      </c>
      <c r="I40" s="92">
        <f>SUM('FPC wSEB'!I402:I413)+1</f>
        <v>26271</v>
      </c>
      <c r="J40" s="92">
        <f>SUM('FPC wSEB'!J402:J413)-1</f>
        <v>3275812</v>
      </c>
      <c r="K40" s="92">
        <f>SUM('FPC wSEB'!K402:K413)</f>
        <v>2945585</v>
      </c>
      <c r="L40" s="92">
        <f>SUM('FPC wSEB'!L402:L413)</f>
        <v>3673887</v>
      </c>
      <c r="M40" s="92">
        <f>SUM('FPC wSEB'!M402:M413)</f>
        <v>29209286</v>
      </c>
      <c r="N40" s="92">
        <f>SUM('FPC wSEB'!N402:N413)</f>
        <v>-123494</v>
      </c>
      <c r="O40" s="92">
        <f>SUM('FPC wSEB'!O402:O413)</f>
        <v>45051689</v>
      </c>
      <c r="P40" s="92">
        <f>SUM('FPC wSEB'!P402:P413)</f>
        <v>143532</v>
      </c>
      <c r="Q40" s="92">
        <f>SUM('FPC wSEB'!Q402:Q413)</f>
        <v>2462920</v>
      </c>
      <c r="R40" s="92">
        <f>SUM('FPC wSEB'!R402:R413)</f>
        <v>47658141</v>
      </c>
      <c r="S40" s="94">
        <f t="shared" si="5"/>
        <v>5.1678893643795298E-2</v>
      </c>
      <c r="T40" s="92">
        <f>SUM('FPC wSEB'!T402:T413)</f>
        <v>22547631</v>
      </c>
      <c r="U40" s="77">
        <f t="shared" si="7"/>
        <v>2008</v>
      </c>
      <c r="W40" s="93">
        <f>ROUND(AVERAGE('FPC wSEB'!W402:W413),0)</f>
        <v>1638935</v>
      </c>
      <c r="X40" s="93">
        <f>ROUND(AVERAGE('FPC wSEB'!X402:X413),0)</f>
        <v>1449041</v>
      </c>
      <c r="Y40" s="93">
        <f>ROUND(AVERAGE('FPC wSEB'!Y402:Y413),0)</f>
        <v>162569</v>
      </c>
      <c r="Z40" s="93">
        <f>ROUND(AVERAGE('FPC wSEB'!Z402:Z413),0)</f>
        <v>2587</v>
      </c>
      <c r="AA40" s="93">
        <f>ROUND(AVERAGE('FPC wSEB'!AA402:AA413),0)</f>
        <v>1652</v>
      </c>
      <c r="AB40" s="93">
        <f>ROUND(AVERAGE('FPC wSEB'!AB402:AB413),0)</f>
        <v>23062</v>
      </c>
      <c r="AC40" s="93">
        <f>ROUND(AVERAGE('FPC wSEB'!AC402:AC413),0)</f>
        <v>6</v>
      </c>
      <c r="AD40" s="93">
        <f>ROUND(AVERAGE('FPC wSEB'!AD402:AD413),0)</f>
        <v>18</v>
      </c>
      <c r="AE40" s="96">
        <f>ROUND(AVERAGE('FPC wSEB'!AE402:AE413),0)</f>
        <v>24</v>
      </c>
      <c r="AF40" s="92">
        <f t="shared" si="1"/>
        <v>1638911</v>
      </c>
      <c r="AG40" s="92">
        <f t="shared" si="9"/>
        <v>6565</v>
      </c>
      <c r="AH40" s="95">
        <f>[2]FCST!$C500</f>
        <v>1637225</v>
      </c>
      <c r="AI40" s="92">
        <f t="shared" si="8"/>
        <v>433</v>
      </c>
    </row>
    <row r="41" spans="1:35">
      <c r="A41" s="88">
        <f t="shared" si="6"/>
        <v>2009</v>
      </c>
      <c r="B41" s="92">
        <f t="shared" si="0"/>
        <v>37824249</v>
      </c>
      <c r="C41" s="92">
        <f>SUMIF('FPC wSEB'!A$6:A$425,$A41,'FPC wSEB'!C$6:C$425)</f>
        <v>41520419</v>
      </c>
      <c r="D41" s="92">
        <f>SUMIF('FPC wSEB'!$A$6:$A$425,$A41,'FPC wSEB'!D$6:D$425)</f>
        <v>19399196</v>
      </c>
      <c r="E41" s="92">
        <f>SUMIF('FPC wSEB'!$A$6:$A$425,$A41,'FPC wSEB'!E$6:E$425)</f>
        <v>11883476</v>
      </c>
      <c r="F41" s="92">
        <f>SUMIF('FPC wSEB'!$A$6:$A$425,$A41,'FPC wSEB'!F$6:F$425)</f>
        <v>3285388</v>
      </c>
      <c r="G41" s="92">
        <f>SUMIF('FPC wSEB'!$A$6:$A$425,$A41,'FPC wSEB'!G$6:G$425)</f>
        <v>1082467</v>
      </c>
      <c r="H41" s="92">
        <f>SUMIF('FPC wSEB'!$A$6:$A$425,$A41,'FPC wSEB'!H$6:H$425)</f>
        <v>2202921</v>
      </c>
      <c r="I41" s="92">
        <f>SUMIF('FPC wSEB'!$A$6:$A$425,$A41,'FPC wSEB'!I$6:I$425)</f>
        <v>25966</v>
      </c>
      <c r="J41" s="92">
        <f>SUMIF('FPC wSEB'!$A$6:$A$425,$A41,'FPC wSEB'!J$6:J$425)</f>
        <v>3230223</v>
      </c>
      <c r="K41" s="92">
        <f>SUMIF('FPC wSEB'!$A$6:$A$425,$A41,'FPC wSEB'!K$6:K$425)</f>
        <v>1217503</v>
      </c>
      <c r="L41" s="92">
        <f>SUMIF('FPC wSEB'!$A$6:$A$425,$A41,'FPC wSEB'!L$6:L$425)</f>
        <v>2478667</v>
      </c>
      <c r="M41" s="92">
        <f>SUMIF('FPC wSEB'!$A$6:$A$425,$A41,'FPC wSEB'!M$6:M$425)</f>
        <v>24962859</v>
      </c>
      <c r="N41" s="92">
        <f>SUMIF('FPC wSEB'!$A$6:$A$425,$A41,'FPC wSEB'!N$6:N$425)</f>
        <v>-76070</v>
      </c>
      <c r="O41" s="92">
        <f>SUMIF('FPC wSEB'!$A$6:$A$425,$A41,'FPC wSEB'!O$6:O$425)</f>
        <v>41444349</v>
      </c>
      <c r="P41" s="92">
        <f>SUMIF('FPC wSEB'!$A$6:$A$425,$A41,'FPC wSEB'!P$6:P$425)</f>
        <v>154716</v>
      </c>
      <c r="Q41" s="92">
        <f>SUMIF('FPC wSEB'!$A$6:$A$425,$A41,'FPC wSEB'!Q$6:Q$425)</f>
        <v>2524823</v>
      </c>
      <c r="R41" s="92">
        <f>SUMIF('FPC wSEB'!$A$6:$A$425,$A41,'FPC wSEB'!R$6:R$425)</f>
        <v>44123888</v>
      </c>
      <c r="S41" s="94">
        <f t="shared" si="5"/>
        <v>5.7221226742303399E-2</v>
      </c>
      <c r="T41" s="92">
        <f>SUMIF('FPC wSEB'!$A$6:$A$425,$A41,'FPC wSEB'!T$6:T$425)</f>
        <v>21578633</v>
      </c>
      <c r="U41" s="77">
        <f t="shared" si="7"/>
        <v>2009</v>
      </c>
      <c r="W41" s="93">
        <f>ROUND(AVERAGE('FPC wSEB'!W414:W425),0)</f>
        <v>1630195</v>
      </c>
      <c r="X41" s="93">
        <f>ROUND(AVERAGE('FPC wSEB'!X414:X425),0)</f>
        <v>1441325</v>
      </c>
      <c r="Y41" s="93">
        <f>ROUND(AVERAGE('FPC wSEB'!Y414:Y425),0)</f>
        <v>161390</v>
      </c>
      <c r="Z41" s="93">
        <f>ROUND(AVERAGE('FPC wSEB'!Z414:Z425),0)</f>
        <v>2487</v>
      </c>
      <c r="AA41" s="93">
        <f>ROUND(AVERAGE('FPC wSEB'!AA414:AA425),0)</f>
        <v>1624</v>
      </c>
      <c r="AB41" s="93">
        <f>ROUND(AVERAGE('FPC wSEB'!AB414:AB425),0)</f>
        <v>23346</v>
      </c>
      <c r="AC41" s="93">
        <f>ROUND(AVERAGE('FPC wSEB'!AC414:AC425),0)</f>
        <v>5</v>
      </c>
      <c r="AD41" s="93">
        <f>ROUND(AVERAGE('FPC wSEB'!AD414:AD425),0)</f>
        <v>18</v>
      </c>
      <c r="AE41" s="96">
        <f>ROUND(AVERAGE('FPC wSEB'!AE414:AE425),0)</f>
        <v>23</v>
      </c>
      <c r="AF41" s="92">
        <f t="shared" si="1"/>
        <v>1630172</v>
      </c>
      <c r="AG41" s="92">
        <f t="shared" si="9"/>
        <v>-8739</v>
      </c>
      <c r="AH41" s="95">
        <f>[2]FCST!$C501</f>
        <v>1629711</v>
      </c>
      <c r="AI41" s="92">
        <f t="shared" si="8"/>
        <v>-7514</v>
      </c>
    </row>
    <row r="42" spans="1:35">
      <c r="A42" s="88">
        <f t="shared" si="6"/>
        <v>2010</v>
      </c>
      <c r="B42" s="92">
        <f t="shared" si="0"/>
        <v>38925066</v>
      </c>
      <c r="C42" s="92">
        <f>SUMIF('FPC wSEB'!A$6:A$437,$A42,'FPC wSEB'!C$6:C$437)</f>
        <v>42418098</v>
      </c>
      <c r="D42" s="92">
        <f>SUMIF('FPC wSEB'!$A$6:$A$437,$A42,'FPC wSEB'!D$6:D$437)</f>
        <v>20524061</v>
      </c>
      <c r="E42" s="92">
        <f>SUMIF('FPC wSEB'!$A$6:$A$437,$A42,'FPC wSEB'!E$6:E$437)</f>
        <v>11895889</v>
      </c>
      <c r="F42" s="92">
        <f>SUMIF('FPC wSEB'!$A$6:$A$437,$A42,'FPC wSEB'!F$6:F$437)</f>
        <v>3219344</v>
      </c>
      <c r="G42" s="92">
        <f>SUMIF('FPC wSEB'!$A$6:$A$437,$A42,'FPC wSEB'!G$6:G$437)</f>
        <v>988599</v>
      </c>
      <c r="H42" s="92">
        <f>SUMIF('FPC wSEB'!$A$6:$A$437,$A42,'FPC wSEB'!H$6:H$437)</f>
        <v>2230745</v>
      </c>
      <c r="I42" s="92">
        <f>SUMIF('FPC wSEB'!$A$6:$A$437,$A42,'FPC wSEB'!I$6:I$437)</f>
        <v>25787</v>
      </c>
      <c r="J42" s="92">
        <f>SUMIF('FPC wSEB'!$A$6:$A$437,$A42,'FPC wSEB'!J$6:J$437)</f>
        <v>3259985</v>
      </c>
      <c r="K42" s="92">
        <f>SUMIF('FPC wSEB'!$A$6:$A$437,$A42,'FPC wSEB'!K$6:K$437)</f>
        <v>1283905</v>
      </c>
      <c r="L42" s="92">
        <f>SUMIF('FPC wSEB'!$A$6:$A$437,$A42,'FPC wSEB'!L$6:L$437)</f>
        <v>2209127</v>
      </c>
      <c r="M42" s="92">
        <f>SUMIF('FPC wSEB'!$A$6:$A$437,$A42,'FPC wSEB'!M$6:M$437)</f>
        <v>27128977</v>
      </c>
      <c r="N42" s="92">
        <f>SUMIF('FPC wSEB'!$A$6:$A$437,$A42,'FPC wSEB'!N$6:N$437)</f>
        <v>624356</v>
      </c>
      <c r="O42" s="92">
        <f>SUMIF('FPC wSEB'!$A$6:$A$437,$A42,'FPC wSEB'!O$6:O$437)</f>
        <v>43042454</v>
      </c>
      <c r="P42" s="92">
        <f>SUMIF('FPC wSEB'!$A$6:$A$437,$A42,'FPC wSEB'!P$6:P$437)</f>
        <v>171107</v>
      </c>
      <c r="Q42" s="92">
        <f>SUMIF('FPC wSEB'!$A$6:$A$437,$A42,'FPC wSEB'!Q$6:Q$437)</f>
        <v>2946375</v>
      </c>
      <c r="R42" s="92">
        <f>SUMIF('FPC wSEB'!$A$6:$A$437,$A42,'FPC wSEB'!R$6:R$437)</f>
        <v>46159936</v>
      </c>
      <c r="S42" s="94">
        <f t="shared" ref="S42" si="10">(Q42/R42)</f>
        <v>6.3829702883470202E-2</v>
      </c>
      <c r="T42" s="92">
        <f>SUMIF('FPC wSEB'!$A$6:$A$437,$A42,'FPC wSEB'!T$6:T$437)</f>
        <v>23431730</v>
      </c>
      <c r="U42" s="77">
        <f t="shared" si="7"/>
        <v>2010</v>
      </c>
      <c r="W42" s="93">
        <f>ROUND(AVERAGE('FPC wSEB'!W426:W437),0)</f>
        <v>1640833</v>
      </c>
      <c r="X42" s="93">
        <f>ROUND(AVERAGE('FPC wSEB'!X426:X437),0)</f>
        <v>1451466</v>
      </c>
      <c r="Y42" s="93">
        <f>ROUND(AVERAGE('FPC wSEB'!Y426:Y437),0)</f>
        <v>161674</v>
      </c>
      <c r="Z42" s="93">
        <f>ROUND(AVERAGE('FPC wSEB'!Z426:Z437),0)</f>
        <v>2481</v>
      </c>
      <c r="AA42" s="93">
        <f>ROUND(AVERAGE('FPC wSEB'!AA426:AA437),0)</f>
        <v>1621</v>
      </c>
      <c r="AB42" s="93">
        <f>ROUND(AVERAGE('FPC wSEB'!AB426:AB437),0)</f>
        <v>23571</v>
      </c>
      <c r="AC42" s="93">
        <f>ROUND(AVERAGE('FPC wSEB'!AC426:AC437),0)</f>
        <v>5</v>
      </c>
      <c r="AD42" s="93">
        <f>ROUND(AVERAGE('FPC wSEB'!AD426:AD437),0)</f>
        <v>14</v>
      </c>
      <c r="AE42" s="96">
        <f>ROUND(AVERAGE('FPC wSEB'!AE426:AE437),0)</f>
        <v>19</v>
      </c>
      <c r="AF42" s="92">
        <f t="shared" ref="AF42" si="11">SUM(X42:AB42)</f>
        <v>1640813</v>
      </c>
      <c r="AG42" s="92">
        <f t="shared" si="9"/>
        <v>10641</v>
      </c>
      <c r="AH42" s="95">
        <f>[3]TOTAL!$I$220</f>
        <v>1640813.3333333333</v>
      </c>
      <c r="AI42" s="92">
        <f t="shared" ref="AI42" si="12">AH42-AH41</f>
        <v>11102.333333333256</v>
      </c>
    </row>
    <row r="43" spans="1:35">
      <c r="A43" s="88">
        <f t="shared" si="6"/>
        <v>2011</v>
      </c>
      <c r="B43" s="92">
        <f t="shared" ref="B43" si="13">SUM(D43:F43,I43:J43)</f>
        <v>37596937</v>
      </c>
      <c r="C43" s="92">
        <f>SUMIF('FPC wSEB'!A$6:A$449,$A43,'FPC wSEB'!C$6:C$449)</f>
        <v>40309332</v>
      </c>
      <c r="D43" s="92">
        <f>SUMIF('FPC wSEB'!$A$6:$A$449,$A43,'FPC wSEB'!D$6:D$449)</f>
        <v>19237835</v>
      </c>
      <c r="E43" s="92">
        <f>SUMIF('FPC wSEB'!$A$6:$A$449,$A43,'FPC wSEB'!E$6:E$449)</f>
        <v>11891810</v>
      </c>
      <c r="F43" s="92">
        <f>SUMIF('FPC wSEB'!$A$6:$A$449,$A43,'FPC wSEB'!F$6:F$449)</f>
        <v>3242738</v>
      </c>
      <c r="G43" s="92">
        <f>SUMIF('FPC wSEB'!$A$6:$A$449,$A43,'FPC wSEB'!G$6:G$449)</f>
        <v>1108025</v>
      </c>
      <c r="H43" s="92">
        <f>SUMIF('FPC wSEB'!$A$6:$A$449,$A43,'FPC wSEB'!H$6:H$449)</f>
        <v>2134713</v>
      </c>
      <c r="I43" s="92">
        <f>SUMIF('FPC wSEB'!$A$6:$A$449,$A43,'FPC wSEB'!I$6:I$449)</f>
        <v>24883</v>
      </c>
      <c r="J43" s="92">
        <f>SUMIF('FPC wSEB'!$A$6:$A$449,$A43,'FPC wSEB'!J$6:J$449)</f>
        <v>3199671</v>
      </c>
      <c r="K43" s="92">
        <f>SUMIF('FPC wSEB'!$A$6:$A$449,$A43,'FPC wSEB'!K$6:K$449)</f>
        <v>1302347</v>
      </c>
      <c r="L43" s="92">
        <f>SUMIF('FPC wSEB'!$A$6:$A$449,$A43,'FPC wSEB'!L$6:L$449)</f>
        <v>1410048</v>
      </c>
      <c r="M43" s="92">
        <f>SUMIF('FPC wSEB'!$A$6:$A$449,$A43,'FPC wSEB'!M$6:M$449)</f>
        <v>25565669</v>
      </c>
      <c r="N43" s="92">
        <f>SUMIF('FPC wSEB'!$A$6:$A$449,$A43,'FPC wSEB'!N$6:N$449)</f>
        <v>-781346</v>
      </c>
      <c r="O43" s="92">
        <f>SUMIF('FPC wSEB'!$A$6:$A$449,$A43,'FPC wSEB'!O$6:O$449)</f>
        <v>39527986</v>
      </c>
      <c r="P43" s="92">
        <f>SUMIF('FPC wSEB'!$A$6:$A$449,$A43,'FPC wSEB'!P$6:P$449)</f>
        <v>161600</v>
      </c>
      <c r="Q43" s="92">
        <f>SUMIF('FPC wSEB'!$A$6:$A$449,$A43,'FPC wSEB'!Q$6:Q$449)</f>
        <v>2800398</v>
      </c>
      <c r="R43" s="92">
        <f>SUMIF('FPC wSEB'!$A$6:$A$449,$A43,'FPC wSEB'!R$6:R$449)</f>
        <v>42489984</v>
      </c>
      <c r="S43" s="94">
        <f t="shared" ref="S43" si="14">(Q43/R43)</f>
        <v>6.5907250047446478E-2</v>
      </c>
      <c r="T43" s="92">
        <f>SUMIF('FPC wSEB'!$A$6:$A$449,$A43,'FPC wSEB'!T$6:T$449)</f>
        <v>22959432</v>
      </c>
      <c r="U43" s="77">
        <f t="shared" si="7"/>
        <v>2011</v>
      </c>
      <c r="W43" s="93">
        <f>ROUND(AVERAGE('FPC wSEB'!W438:W$449),0)</f>
        <v>1642161</v>
      </c>
      <c r="X43" s="93">
        <f>ROUND(AVERAGE('FPC wSEB'!X438:X$449),0)</f>
        <v>1452454</v>
      </c>
      <c r="Y43" s="93">
        <f>ROUND(AVERAGE('FPC wSEB'!Y438:Y$449),0)</f>
        <v>162071</v>
      </c>
      <c r="Z43" s="93">
        <f>ROUND(AVERAGE('FPC wSEB'!Z438:Z$449),0)</f>
        <v>2408</v>
      </c>
      <c r="AA43" s="93">
        <f>ROUND(AVERAGE('FPC wSEB'!AA438:AA$449),0)</f>
        <v>1572</v>
      </c>
      <c r="AB43" s="93">
        <f>ROUND(AVERAGE('FPC wSEB'!AB438:AB$449),0)</f>
        <v>23640</v>
      </c>
      <c r="AC43" s="93">
        <f>ROUND(AVERAGE('FPC wSEB'!AC438:AC$449),0)</f>
        <v>4</v>
      </c>
      <c r="AD43" s="93">
        <f>ROUND(AVERAGE('FPC wSEB'!AD438:AD$449),0)</f>
        <v>11</v>
      </c>
      <c r="AE43" s="96">
        <f>ROUND(AVERAGE('FPC wSEB'!AE438:AE$449),0)</f>
        <v>15</v>
      </c>
      <c r="AF43" s="92">
        <f t="shared" ref="AF43" si="15">SUM(X43:AB43)</f>
        <v>1642145</v>
      </c>
      <c r="AG43" s="92">
        <f t="shared" si="9"/>
        <v>1332</v>
      </c>
      <c r="AH43" s="95">
        <f>[3]TOTAL!$I$232</f>
        <v>1642145.1666666667</v>
      </c>
      <c r="AI43" s="92">
        <f t="shared" ref="AI43" si="16">AH43-AH42</f>
        <v>1331.8333333334886</v>
      </c>
    </row>
    <row r="44" spans="1:35">
      <c r="A44" s="88">
        <f t="shared" si="6"/>
        <v>2012</v>
      </c>
      <c r="B44" s="92">
        <f t="shared" ref="B44" si="17">SUM(D44:F44,I44:J44)</f>
        <v>36381458</v>
      </c>
      <c r="C44" s="92">
        <f>SUMIF('FPC wSEB'!A$6:A$461,$A44,'FPC wSEB'!C$6:C$461)</f>
        <v>38149010</v>
      </c>
      <c r="D44" s="92">
        <f>SUMIF('FPC wSEB'!$A$6:$A$461,$A44,'FPC wSEB'!D$6:D$461)</f>
        <v>18251335</v>
      </c>
      <c r="E44" s="92">
        <f>SUMIF('FPC wSEB'!$A$6:$A$461,$A44,'FPC wSEB'!E$6:E$461)</f>
        <v>11723459</v>
      </c>
      <c r="F44" s="92">
        <f>SUMIF('FPC wSEB'!$A$6:$A$461,$A44,'FPC wSEB'!F$6:F$461)</f>
        <v>3160252</v>
      </c>
      <c r="G44" s="92">
        <f>SUMIF('FPC wSEB'!$A$6:$A$461,$A44,'FPC wSEB'!G$6:G$461)</f>
        <v>1052718</v>
      </c>
      <c r="H44" s="92">
        <f>SUMIF('FPC wSEB'!$A$6:$A$461,$A44,'FPC wSEB'!H$6:H$461)</f>
        <v>2107534</v>
      </c>
      <c r="I44" s="92">
        <f>SUMIF('FPC wSEB'!$A$6:$A$461,$A44,'FPC wSEB'!I$6:I$461)</f>
        <v>25024</v>
      </c>
      <c r="J44" s="92">
        <f>SUMIF('FPC wSEB'!$A$6:$A$461,$A44,'FPC wSEB'!J$6:J$461)</f>
        <v>3221388</v>
      </c>
      <c r="K44" s="92">
        <f>SUMIF('FPC wSEB'!$A$6:$A$461,$A44,'FPC wSEB'!K$6:K$461)</f>
        <v>735900</v>
      </c>
      <c r="L44" s="92">
        <f>SUMIF('FPC wSEB'!$A$6:$A$461,$A44,'FPC wSEB'!L$6:L$461)</f>
        <v>1031652</v>
      </c>
      <c r="M44" s="92">
        <f>SUMIF('FPC wSEB'!$A$6:$A$461,$A44,'FPC wSEB'!M$6:M$461)</f>
        <v>24965038</v>
      </c>
      <c r="N44" s="92">
        <f>SUMIF('FPC wSEB'!$A$6:$A$461,$A44,'FPC wSEB'!N$6:N$461)</f>
        <v>244192</v>
      </c>
      <c r="O44" s="92">
        <f>SUMIF('FPC wSEB'!$A$6:$A$461,$A44,'FPC wSEB'!O$6:O$461)</f>
        <v>38393202</v>
      </c>
      <c r="P44" s="92">
        <f>SUMIF('FPC wSEB'!$A$6:$A$461,$A44,'FPC wSEB'!P$6:P$461)</f>
        <v>149355</v>
      </c>
      <c r="Q44" s="92">
        <f>SUMIF('FPC wSEB'!$A$6:$A$461,$A44,'FPC wSEB'!Q$6:Q$461)</f>
        <v>2671031</v>
      </c>
      <c r="R44" s="92">
        <f>SUMIF('FPC wSEB'!$A$6:$A$461,$A44,'FPC wSEB'!R$6:R$461)</f>
        <v>41213588</v>
      </c>
      <c r="S44" s="94">
        <f t="shared" ref="S44" si="18">(Q44/R44)</f>
        <v>6.4809474972186351E-2</v>
      </c>
      <c r="T44" s="92">
        <f>SUMIF('FPC wSEB'!$A$6:$A$461,$A44,'FPC wSEB'!T$6:T$461)</f>
        <v>23156513</v>
      </c>
      <c r="U44" s="77">
        <f t="shared" si="7"/>
        <v>2012</v>
      </c>
      <c r="W44" s="93">
        <f>ROUND(AVERAGE('FPC wSEB'!W450:W$461),0)</f>
        <v>1649839</v>
      </c>
      <c r="X44" s="93">
        <f>ROUND(AVERAGE('FPC wSEB'!X450:X$461),0)</f>
        <v>1458690</v>
      </c>
      <c r="Y44" s="93">
        <f>ROUND(AVERAGE('FPC wSEB'!Y450:Y$461),0)</f>
        <v>163297</v>
      </c>
      <c r="Z44" s="93">
        <f>ROUND(AVERAGE('FPC wSEB'!Z450:Z$461),0)</f>
        <v>2372</v>
      </c>
      <c r="AA44" s="93">
        <f>ROUND(AVERAGE('FPC wSEB'!AA450:AA$461),0)</f>
        <v>1561</v>
      </c>
      <c r="AB44" s="93">
        <f>ROUND(AVERAGE('FPC wSEB'!AB450:AB$461),0)</f>
        <v>23904</v>
      </c>
      <c r="AC44" s="93">
        <f>ROUND(AVERAGE('FPC wSEB'!AC450:AC$461),0)</f>
        <v>4</v>
      </c>
      <c r="AD44" s="93">
        <f>ROUND(AVERAGE('FPC wSEB'!AD450:AD$461),0)</f>
        <v>11</v>
      </c>
      <c r="AE44" s="96">
        <f>ROUND(AVERAGE('FPC wSEB'!AE450:AE$461),0)</f>
        <v>16</v>
      </c>
      <c r="AF44" s="92">
        <f t="shared" ref="AF44" si="19">SUM(X44:AB44)</f>
        <v>1649824</v>
      </c>
      <c r="AG44" s="92">
        <f t="shared" ref="AG44" si="20">AF44-AF43</f>
        <v>7679</v>
      </c>
      <c r="AH44" s="95">
        <f>[3]TOTAL!$I$244</f>
        <v>1649823.4166666667</v>
      </c>
      <c r="AI44" s="92">
        <f t="shared" ref="AI44" si="21">AH44-AH43</f>
        <v>7678.25</v>
      </c>
    </row>
    <row r="45" spans="1:35">
      <c r="A45" s="88">
        <f t="shared" si="6"/>
        <v>2013</v>
      </c>
      <c r="B45" s="92">
        <f t="shared" ref="B45" si="22">SUM(D45:F45,I45:J45)</f>
        <v>36615988</v>
      </c>
      <c r="C45" s="92">
        <f>SUMIF('FPC wSEB'!A$6:A$473,$A45,'FPC wSEB'!C$6:C$473)</f>
        <v>38104484</v>
      </c>
      <c r="D45" s="92">
        <f>SUMIF('FPC wSEB'!$A$6:$A$473,$A45,'FPC wSEB'!D$6:D$473)</f>
        <v>18507963</v>
      </c>
      <c r="E45" s="92">
        <f>SUMIF('FPC wSEB'!$A$6:$A$473,$A45,'FPC wSEB'!E$6:E$473)</f>
        <v>11717885</v>
      </c>
      <c r="F45" s="92">
        <f>SUMIF('FPC wSEB'!$A$6:$A$473,$A45,'FPC wSEB'!F$6:F$473)</f>
        <v>3206354</v>
      </c>
      <c r="G45" s="92">
        <f>SUMIF('FPC wSEB'!$A$6:$A$473,$A45,'FPC wSEB'!G$6:G$473)</f>
        <v>1068873</v>
      </c>
      <c r="H45" s="92">
        <f>SUMIF('FPC wSEB'!$A$6:$A$473,$A45,'FPC wSEB'!H$6:H$473)</f>
        <v>2137481</v>
      </c>
      <c r="I45" s="92">
        <f>SUMIF('FPC wSEB'!$A$6:$A$473,$A45,'FPC wSEB'!I$6:I$473)</f>
        <v>24890</v>
      </c>
      <c r="J45" s="92">
        <f>SUMIF('FPC wSEB'!$A$6:$A$473,$A45,'FPC wSEB'!J$6:J$473)</f>
        <v>3158896</v>
      </c>
      <c r="K45" s="92">
        <f>SUMIF('FPC wSEB'!$A$6:$A$473,$A45,'FPC wSEB'!K$6:K$473)</f>
        <v>628256</v>
      </c>
      <c r="L45" s="92">
        <f>SUMIF('FPC wSEB'!$A$6:$A$473,$A45,'FPC wSEB'!L$6:L$473)</f>
        <v>860240</v>
      </c>
      <c r="M45" s="92">
        <f>SUMIF('FPC wSEB'!$A$6:$A$473,$A45,'FPC wSEB'!M$6:M$473)</f>
        <v>24239270</v>
      </c>
      <c r="N45" s="92">
        <f>SUMIF('FPC wSEB'!$A$6:$A$473,$A45,'FPC wSEB'!N$6:N$473)</f>
        <v>-190153</v>
      </c>
      <c r="O45" s="92">
        <f>SUMIF('FPC wSEB'!$A$6:$A$473,$A45,'FPC wSEB'!O$6:O$473)</f>
        <v>37914331</v>
      </c>
      <c r="P45" s="92">
        <f>SUMIF('FPC wSEB'!$A$6:$A$473,$A45,'FPC wSEB'!P$6:P$473)</f>
        <v>155673</v>
      </c>
      <c r="Q45" s="92">
        <f>SUMIF('FPC wSEB'!$A$6:$A$473,$A45,'FPC wSEB'!Q$6:Q$473)</f>
        <v>2702173</v>
      </c>
      <c r="R45" s="92">
        <f>SUMIF('FPC wSEB'!$A$6:$A$473,$A45,'FPC wSEB'!R$6:R$473)</f>
        <v>40772177</v>
      </c>
      <c r="S45" s="94">
        <f t="shared" ref="S45" si="23">(Q45/R45)</f>
        <v>6.6274925668060355E-2</v>
      </c>
      <c r="T45" s="92">
        <f>SUMIF('FPC wSEB'!$A$6:$A$473,$A45,'FPC wSEB'!T$6:T$473)</f>
        <v>22728822</v>
      </c>
      <c r="U45" s="77">
        <f t="shared" si="7"/>
        <v>2013</v>
      </c>
      <c r="W45" s="93">
        <f>ROUND(AVERAGE('FPC wSEB'!W451:W$461),0)</f>
        <v>1656753</v>
      </c>
      <c r="X45" s="93">
        <f>ROUND(AVERAGE('FPC wSEB'!X451:X$461),0)</f>
        <v>1465169</v>
      </c>
      <c r="Y45" s="93">
        <f>ROUND(AVERAGE('FPC wSEB'!Y451:Y$461),0)</f>
        <v>163671</v>
      </c>
      <c r="Z45" s="93">
        <f>ROUND(AVERAGE('FPC wSEB'!Z451:Z$461),0)</f>
        <v>2370</v>
      </c>
      <c r="AA45" s="93">
        <f>ROUND(AVERAGE('FPC wSEB'!AA451:AA$461),0)</f>
        <v>1562</v>
      </c>
      <c r="AB45" s="93">
        <f>ROUND(AVERAGE('FPC wSEB'!AB451:AB$461),0)</f>
        <v>23965</v>
      </c>
      <c r="AC45" s="93">
        <f>ROUND(AVERAGE('FPC wSEB'!AC451:AC$461),0)</f>
        <v>4</v>
      </c>
      <c r="AD45" s="93">
        <f>ROUND(AVERAGE('FPC wSEB'!AD451:AD$461),0)</f>
        <v>11</v>
      </c>
      <c r="AE45" s="96">
        <f>ROUND(AVERAGE('FPC wSEB'!AE451:AE$461),0)</f>
        <v>16</v>
      </c>
      <c r="AF45" s="92">
        <f t="shared" ref="AF45" si="24">SUM(X45:AB45)</f>
        <v>1656737</v>
      </c>
      <c r="AG45" s="92">
        <f t="shared" ref="AG45" si="25">AF45-AF44</f>
        <v>6913</v>
      </c>
      <c r="AH45" s="95">
        <f>[3]TOTAL!$I$244</f>
        <v>1649823.4166666667</v>
      </c>
      <c r="AI45" s="92">
        <f t="shared" ref="AI45" si="26">AH45-AH44</f>
        <v>0</v>
      </c>
    </row>
    <row r="46" spans="1:35">
      <c r="C46" s="89"/>
      <c r="S46" s="78"/>
      <c r="T46" s="4"/>
      <c r="W46" s="93"/>
      <c r="X46" s="93"/>
      <c r="Y46" s="93"/>
      <c r="Z46" s="93"/>
      <c r="AA46" s="93"/>
      <c r="AB46" s="93"/>
      <c r="AC46" s="93"/>
      <c r="AD46" s="93"/>
      <c r="AH46" s="78"/>
    </row>
    <row r="47" spans="1:35">
      <c r="AF47" s="92"/>
    </row>
  </sheetData>
  <printOptions horizontalCentered="1" verticalCentered="1"/>
  <pageMargins left="0.5" right="0.5" top="0.5" bottom="0.55000000000000004" header="0.5" footer="0.5"/>
  <pageSetup scale="26" orientation="portrait" r:id="rId1"/>
  <headerFooter alignWithMargins="0">
    <oddFooter>&amp;L&amp;D    BUSINESS PLANNING&amp;R14LGBRA-NRGPOD1-6-DOC 36
14BGBRA-STAFFROG1-19A-DOC 36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Props1.xml><?xml version="1.0" encoding="utf-8"?>
<ds:datastoreItem xmlns:ds="http://schemas.openxmlformats.org/officeDocument/2006/customXml" ds:itemID="{793DD23A-714F-4D5E-BD83-94C3B9E4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E36829-DE91-4AA8-B711-F18E6C83CC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F4398-40D3-45BB-8836-B7E490224C10}">
  <ds:schemaRefs>
    <ds:schemaRef ds:uri="http://schemas.microsoft.com/office/infopath/2007/PartnerControls"/>
    <ds:schemaRef ds:uri="31653589-be70-4e86-8387-5ccaacc3bd25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FPC wSEB</vt:lpstr>
      <vt:lpstr>SEB</vt:lpstr>
      <vt:lpstr>FPCwoSEB</vt:lpstr>
      <vt:lpstr>Annual</vt:lpstr>
      <vt:lpstr>'FPC wSEB'!Print_Area</vt:lpstr>
      <vt:lpstr>FPCwoSEB!Print_Area</vt:lpstr>
      <vt:lpstr>SEB!Print_Area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Lynch, Edward V</dc:creator>
  <cp:lastModifiedBy>Shelly Schrand</cp:lastModifiedBy>
  <cp:lastPrinted>2003-10-01T19:43:27Z</cp:lastPrinted>
  <dcterms:created xsi:type="dcterms:W3CDTF">1999-06-09T14:01:45Z</dcterms:created>
  <dcterms:modified xsi:type="dcterms:W3CDTF">2014-07-11T19:06:46Z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